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fileSharing userName="Lena Nolte" algorithmName="SHA-512" hashValue="d9HWGHEj3nuGvd5fg/+zGvsPjUzK3O66xhdSxNFfI5pFoxktVyBSxvojg+gPpwV4unwNzqyDqpycyDm2o77FvQ==" saltValue="G4lt7nZkfeE3bqp5E8rnxg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lte\Documents\myStandards GmbH\Marketing\Strategieworkshop\01 Apatit Launch\"/>
    </mc:Choice>
  </mc:AlternateContent>
  <xr:revisionPtr revIDLastSave="0" documentId="13_ncr:10001_{16965C62-6AEC-4EF1-93B4-A75944A1E572}" xr6:coauthVersionLast="47" xr6:coauthVersionMax="47" xr10:uidLastSave="{00000000-0000-0000-0000-000000000000}"/>
  <bookViews>
    <workbookView xWindow="30612" yWindow="-108" windowWidth="30936" windowHeight="16896" xr2:uid="{B817DD25-4581-488F-8C9C-0D5D7ADA8613}"/>
  </bookViews>
  <sheets>
    <sheet name="Characterisation" sheetId="1" r:id="rId1"/>
    <sheet name="Homogeneity Test Single Pellet" sheetId="2" r:id="rId2"/>
    <sheet name="Homogeneity- &amp; Stability Test" sheetId="3" r:id="rId3"/>
    <sheet name="Value &amp; Uncertainty Calcul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D71" i="3"/>
  <c r="D48" i="3"/>
  <c r="C24" i="3"/>
  <c r="G8" i="4"/>
  <c r="B16" i="4"/>
  <c r="G12" i="4"/>
  <c r="H6" i="1"/>
  <c r="B6" i="4" s="1"/>
  <c r="H5" i="1"/>
  <c r="B4" i="4" s="1"/>
  <c r="G31" i="4"/>
  <c r="P20" i="2"/>
  <c r="P19" i="2"/>
  <c r="P17" i="2"/>
  <c r="P14" i="2"/>
  <c r="F46" i="2"/>
  <c r="P35" i="2" s="1"/>
  <c r="P34" i="2"/>
  <c r="G21" i="4"/>
  <c r="G27" i="4" s="1"/>
  <c r="G28" i="4" s="1"/>
  <c r="G32" i="4" s="1"/>
  <c r="E41" i="2"/>
  <c r="E40" i="2"/>
  <c r="E39" i="2"/>
  <c r="P32" i="2"/>
  <c r="E24" i="2"/>
  <c r="E23" i="2"/>
  <c r="E22" i="2"/>
  <c r="E21" i="2"/>
  <c r="E20" i="2"/>
  <c r="E19" i="2"/>
  <c r="E18" i="2"/>
  <c r="Q14" i="2"/>
  <c r="L7" i="2"/>
  <c r="K7" i="2"/>
  <c r="J7" i="2"/>
  <c r="I7" i="2"/>
  <c r="H7" i="2"/>
  <c r="H20" i="2" s="1"/>
  <c r="G7" i="2"/>
  <c r="F7" i="2"/>
  <c r="F41" i="2" s="1"/>
  <c r="L6" i="2"/>
  <c r="K6" i="2"/>
  <c r="J6" i="2"/>
  <c r="I6" i="2"/>
  <c r="I10" i="2" s="1"/>
  <c r="H6" i="2"/>
  <c r="G6" i="2"/>
  <c r="F6" i="2"/>
  <c r="I40" i="2" s="1"/>
  <c r="L5" i="2"/>
  <c r="L9" i="2" s="1"/>
  <c r="K5" i="2"/>
  <c r="K10" i="2" s="1"/>
  <c r="J5" i="2"/>
  <c r="J10" i="2" s="1"/>
  <c r="I5" i="2"/>
  <c r="G21" i="2" s="1"/>
  <c r="H5" i="2"/>
  <c r="I20" i="2" s="1"/>
  <c r="G5" i="2"/>
  <c r="G10" i="2" s="1"/>
  <c r="F5" i="2"/>
  <c r="G49" i="2" s="1"/>
  <c r="D69" i="3"/>
  <c r="D70" i="3" s="1"/>
  <c r="D62" i="3"/>
  <c r="D59" i="3"/>
  <c r="D60" i="3" s="1"/>
  <c r="D50" i="3"/>
  <c r="D41" i="3"/>
  <c r="F33" i="3"/>
  <c r="E33" i="3"/>
  <c r="D33" i="3"/>
  <c r="C33" i="3"/>
  <c r="B33" i="3"/>
  <c r="F32" i="3"/>
  <c r="E32" i="3"/>
  <c r="C38" i="3" s="1"/>
  <c r="D32" i="3"/>
  <c r="C32" i="3"/>
  <c r="B32" i="3"/>
  <c r="F31" i="3"/>
  <c r="E31" i="3"/>
  <c r="D31" i="3"/>
  <c r="C31" i="3"/>
  <c r="B31" i="3"/>
  <c r="F30" i="3"/>
  <c r="E30" i="3"/>
  <c r="D30" i="3"/>
  <c r="C30" i="3"/>
  <c r="B30" i="3"/>
  <c r="F29" i="3"/>
  <c r="E29" i="3"/>
  <c r="D29" i="3"/>
  <c r="C29" i="3"/>
  <c r="B29" i="3"/>
  <c r="F28" i="3"/>
  <c r="E28" i="3"/>
  <c r="D28" i="3"/>
  <c r="C28" i="3"/>
  <c r="B28" i="3"/>
  <c r="F27" i="3"/>
  <c r="E27" i="3"/>
  <c r="D27" i="3"/>
  <c r="C27" i="3"/>
  <c r="B27" i="3"/>
  <c r="F26" i="3"/>
  <c r="E26" i="3"/>
  <c r="D26" i="3"/>
  <c r="C26" i="3"/>
  <c r="B26" i="3"/>
  <c r="F25" i="3"/>
  <c r="E25" i="3"/>
  <c r="D25" i="3"/>
  <c r="C25" i="3"/>
  <c r="B25" i="3"/>
  <c r="F24" i="3"/>
  <c r="E24" i="3"/>
  <c r="C39" i="3" s="1"/>
  <c r="D24" i="3"/>
  <c r="D39" i="3"/>
  <c r="B24" i="3"/>
  <c r="E39" i="3" l="1"/>
  <c r="D64" i="3" s="1"/>
  <c r="G13" i="4"/>
  <c r="L10" i="2"/>
  <c r="L11" i="2" s="1"/>
  <c r="G18" i="2"/>
  <c r="F24" i="2"/>
  <c r="G41" i="2"/>
  <c r="N7" i="2"/>
  <c r="F21" i="2"/>
  <c r="O7" i="2"/>
  <c r="P7" i="2" s="1"/>
  <c r="H18" i="2"/>
  <c r="F30" i="2" s="1"/>
  <c r="H30" i="2" s="1"/>
  <c r="G24" i="2"/>
  <c r="H41" i="2"/>
  <c r="I21" i="2"/>
  <c r="I24" i="2"/>
  <c r="G9" i="2"/>
  <c r="G11" i="2" s="1"/>
  <c r="G19" i="2"/>
  <c r="F39" i="2"/>
  <c r="N6" i="2"/>
  <c r="I9" i="2"/>
  <c r="I11" i="2" s="1"/>
  <c r="H19" i="2"/>
  <c r="F22" i="2"/>
  <c r="G39" i="2"/>
  <c r="H9" i="2"/>
  <c r="O6" i="2"/>
  <c r="J9" i="2"/>
  <c r="J11" i="2" s="1"/>
  <c r="I19" i="2"/>
  <c r="G22" i="2"/>
  <c r="H39" i="2"/>
  <c r="K9" i="2"/>
  <c r="K11" i="2" s="1"/>
  <c r="H22" i="2"/>
  <c r="I39" i="2"/>
  <c r="H21" i="2"/>
  <c r="H24" i="2"/>
  <c r="F9" i="2"/>
  <c r="F19" i="2"/>
  <c r="I22" i="2"/>
  <c r="I18" i="2"/>
  <c r="I41" i="2"/>
  <c r="F10" i="2"/>
  <c r="F20" i="2"/>
  <c r="F40" i="2"/>
  <c r="G47" i="2" s="1"/>
  <c r="G20" i="2"/>
  <c r="F23" i="2"/>
  <c r="G30" i="2"/>
  <c r="G40" i="2"/>
  <c r="H10" i="2"/>
  <c r="G23" i="2"/>
  <c r="H40" i="2"/>
  <c r="P16" i="2"/>
  <c r="H23" i="2"/>
  <c r="N5" i="2"/>
  <c r="O5" i="2"/>
  <c r="P5" i="2" s="1"/>
  <c r="I23" i="2"/>
  <c r="G32" i="2"/>
  <c r="F18" i="2"/>
  <c r="C41" i="3"/>
  <c r="D66" i="3"/>
  <c r="D67" i="3" s="1"/>
  <c r="D63" i="3"/>
  <c r="D38" i="3"/>
  <c r="H38" i="3" s="1"/>
  <c r="B7" i="4" l="1"/>
  <c r="F11" i="2"/>
  <c r="P6" i="2"/>
  <c r="P43" i="2"/>
  <c r="F29" i="2"/>
  <c r="G29" i="2"/>
  <c r="K29" i="2" s="1"/>
  <c r="P13" i="2"/>
  <c r="G46" i="2"/>
  <c r="K46" i="2" s="1"/>
  <c r="H11" i="2"/>
  <c r="F47" i="2"/>
  <c r="H47" i="2" s="1"/>
  <c r="E38" i="3"/>
  <c r="B10" i="4" l="1"/>
  <c r="B13" i="4" s="1"/>
  <c r="P15" i="2"/>
  <c r="P21" i="2"/>
  <c r="H46" i="2"/>
  <c r="I46" i="2" s="1"/>
  <c r="J46" i="2" s="1"/>
  <c r="F32" i="2"/>
  <c r="H29" i="2"/>
  <c r="I29" i="2" s="1"/>
  <c r="J29" i="2" s="1"/>
  <c r="F49" i="2"/>
  <c r="P36" i="2" s="1"/>
  <c r="P38" i="2" s="1"/>
  <c r="P41" i="2" s="1"/>
  <c r="D46" i="3"/>
  <c r="D47" i="3" s="1"/>
  <c r="D65" i="3"/>
  <c r="F38" i="3"/>
  <c r="G38" i="3" s="1"/>
  <c r="D51" i="3" l="1"/>
  <c r="D52" i="3" s="1"/>
  <c r="B15" i="4"/>
  <c r="B17" i="4" s="1"/>
</calcChain>
</file>

<file path=xl/sharedStrings.xml><?xml version="1.0" encoding="utf-8"?>
<sst xmlns="http://schemas.openxmlformats.org/spreadsheetml/2006/main" count="353" uniqueCount="209">
  <si>
    <t>Characterisation</t>
  </si>
  <si>
    <t>Analyte</t>
  </si>
  <si>
    <t>Strontium - Sr</t>
  </si>
  <si>
    <t>µg/g</t>
  </si>
  <si>
    <t>Method 1</t>
  </si>
  <si>
    <t>Method 2</t>
  </si>
  <si>
    <t>Method 3</t>
  </si>
  <si>
    <t>Method 4</t>
  </si>
  <si>
    <t>Certified Value</t>
  </si>
  <si>
    <t>Data Set Mean 1</t>
  </si>
  <si>
    <t>Uncertainty component Characterisation</t>
  </si>
  <si>
    <t>Data Set Mean 2</t>
  </si>
  <si>
    <t>Data Set Mean 3</t>
  </si>
  <si>
    <t xml:space="preserve">Calculation of certified value and uncertainty component following Annex  A.2.4 equation A.1 &amp; </t>
  </si>
  <si>
    <t>Data Set Mean 4</t>
  </si>
  <si>
    <t>Annex A.2.5.3 equation A.4 in ISO Guide 35:2017</t>
  </si>
  <si>
    <t>Data Set Mean 5</t>
  </si>
  <si>
    <t>Data Set Mean 6</t>
  </si>
  <si>
    <t>Data Set Mean 7</t>
  </si>
  <si>
    <t>Data Set Mean 8</t>
  </si>
  <si>
    <t>These data sets were acquired in accredited ISO 17025:2017 laboratories and as such are SI-traceable.</t>
  </si>
  <si>
    <t>Approximate normal distribution of data set means was checked using XLSTAT, data are not shown here since the add-in needs to be installed.</t>
  </si>
  <si>
    <t xml:space="preserve"> Sr</t>
  </si>
  <si>
    <t>Apatite-NP 2020-07 B01-80</t>
  </si>
  <si>
    <t>[µg/g]</t>
  </si>
  <si>
    <t>Apatite-NP-2020-07-B01-80 1a</t>
  </si>
  <si>
    <t>1a</t>
  </si>
  <si>
    <t>Zone 1</t>
  </si>
  <si>
    <t>Zone 2</t>
  </si>
  <si>
    <t>Zone 3</t>
  </si>
  <si>
    <t>Zone 4</t>
  </si>
  <si>
    <t>Zone 5</t>
  </si>
  <si>
    <t>Zone 6</t>
  </si>
  <si>
    <t>Zone 7</t>
  </si>
  <si>
    <t>Average</t>
  </si>
  <si>
    <t>SD</t>
  </si>
  <si>
    <t>RSD [%]</t>
  </si>
  <si>
    <t>Apatite-NP-2020-07-B01-80 6a</t>
  </si>
  <si>
    <t>6a</t>
  </si>
  <si>
    <t>Result 1 (a)</t>
  </si>
  <si>
    <t>Apatite-NP-2020-07-B01-80 7a</t>
  </si>
  <si>
    <t>7a</t>
  </si>
  <si>
    <t>Result 2 (b)</t>
  </si>
  <si>
    <t>Apatite-NP-2020-07-B01-80 2a</t>
  </si>
  <si>
    <t>2a</t>
  </si>
  <si>
    <t>Result 3 (c)</t>
  </si>
  <si>
    <t>Apatite-NP-2020-07-B01-80 5a</t>
  </si>
  <si>
    <t>5a</t>
  </si>
  <si>
    <t>Apatite-NP-2020-07-B01-80 3a</t>
  </si>
  <si>
    <t>3a</t>
  </si>
  <si>
    <t>Summary</t>
  </si>
  <si>
    <t>Student's T</t>
  </si>
  <si>
    <t>Apatite-NP-2020-07-B01-80 4a</t>
  </si>
  <si>
    <t>4a</t>
  </si>
  <si>
    <t>95% CI two-tailed</t>
  </si>
  <si>
    <t xml:space="preserve">NIST610- </t>
  </si>
  <si>
    <t/>
  </si>
  <si>
    <t>n</t>
  </si>
  <si>
    <t>k</t>
  </si>
  <si>
    <t>Apatite-NP-2020-07-B01-80 3b</t>
  </si>
  <si>
    <t>3b</t>
  </si>
  <si>
    <t>Anova: One-way analysis of variance</t>
  </si>
  <si>
    <t>α=</t>
  </si>
  <si>
    <t>Standard error</t>
  </si>
  <si>
    <t>Apatite-NP-2020-07-B01-80 7b</t>
  </si>
  <si>
    <t>7b</t>
  </si>
  <si>
    <t>Exp. Unc.</t>
  </si>
  <si>
    <t>[95% CI]</t>
  </si>
  <si>
    <t>Apatite-NP-2020-07-B01-80 2b</t>
  </si>
  <si>
    <t>2b</t>
  </si>
  <si>
    <t>SUMMARY</t>
  </si>
  <si>
    <t>[-]</t>
  </si>
  <si>
    <t>Apatite-NP-2020-07-B01-80 5b</t>
  </si>
  <si>
    <t>5b</t>
  </si>
  <si>
    <t>Groups</t>
  </si>
  <si>
    <t>Count</t>
  </si>
  <si>
    <t>Sum</t>
  </si>
  <si>
    <t>Variance</t>
  </si>
  <si>
    <t>degrees of freedom</t>
  </si>
  <si>
    <t>Apatite-NP-2020-07-B01-80 6b</t>
  </si>
  <si>
    <t>6b</t>
  </si>
  <si>
    <t>Apatite-NP-2020-07-B01-80 1b</t>
  </si>
  <si>
    <t>1b</t>
  </si>
  <si>
    <t>rel. Unc. RSD-%</t>
  </si>
  <si>
    <t>[%]</t>
  </si>
  <si>
    <t>Apatite-NP-2020-07-B01-80 4b</t>
  </si>
  <si>
    <t>4b</t>
  </si>
  <si>
    <t>RSD Horwitz</t>
  </si>
  <si>
    <t>HORRAT</t>
  </si>
  <si>
    <t>&gt;10</t>
  </si>
  <si>
    <t>A HORRAT &lt; 1 is great, between 1 and 2 acceptable and &gt;2 unacceptable</t>
  </si>
  <si>
    <t>Apatite-NP-2020-07-B01-80 5c</t>
  </si>
  <si>
    <t>5c</t>
  </si>
  <si>
    <t>Apatite-NP-2020-07-B01-80 7c</t>
  </si>
  <si>
    <t>7c</t>
  </si>
  <si>
    <t>351:507-513</t>
  </si>
  <si>
    <t>Apatite-NP-2020-07-B01-80 2c</t>
  </si>
  <si>
    <t>2c</t>
  </si>
  <si>
    <t>ASTM-E826-14 Homogeneity Test</t>
  </si>
  <si>
    <t>Apatite-NP-2020-07-B01-80 3c</t>
  </si>
  <si>
    <t>3c</t>
  </si>
  <si>
    <t>ANOVA</t>
  </si>
  <si>
    <t>Apatite-NP-2020-07-B01-80 6c</t>
  </si>
  <si>
    <t>6c</t>
  </si>
  <si>
    <t>Source of Variation</t>
  </si>
  <si>
    <t>Sum of Squares (SS)</t>
  </si>
  <si>
    <t>Degrees of freedom</t>
  </si>
  <si>
    <t>Mean sum of squares</t>
  </si>
  <si>
    <t>F</t>
  </si>
  <si>
    <t>P-Value</t>
  </si>
  <si>
    <t>F crit</t>
  </si>
  <si>
    <t>Apatite-NP-2020-07-B01-80 1c</t>
  </si>
  <si>
    <t>1c</t>
  </si>
  <si>
    <t>Between Groups</t>
  </si>
  <si>
    <t>Apatite-NP-2020-07-B01-80 4c</t>
  </si>
  <si>
    <t>4c</t>
  </si>
  <si>
    <t>Within Groups</t>
  </si>
  <si>
    <r>
      <t xml:space="preserve">Number of Measurements per Zone </t>
    </r>
    <r>
      <rPr>
        <sz val="10"/>
        <rFont val="Open Sans"/>
        <family val="2"/>
      </rPr>
      <t>(b)</t>
    </r>
  </si>
  <si>
    <r>
      <t>Number of Zones</t>
    </r>
    <r>
      <rPr>
        <sz val="10"/>
        <rFont val="Open Sans"/>
        <family val="2"/>
      </rPr>
      <t xml:space="preserve"> (t)</t>
    </r>
  </si>
  <si>
    <t>Total</t>
  </si>
  <si>
    <r>
      <t>Degrees of Freedom</t>
    </r>
    <r>
      <rPr>
        <sz val="10"/>
        <rFont val="Open Sans"/>
        <family val="2"/>
      </rPr>
      <t xml:space="preserve"> (n)</t>
    </r>
  </si>
  <si>
    <t>SSt</t>
  </si>
  <si>
    <t>The analyses were always bracketed by 4 blocks of 3</t>
  </si>
  <si>
    <t>SSb</t>
  </si>
  <si>
    <t>measurements of SRM NIST 610 for drift correction.</t>
  </si>
  <si>
    <t>SST</t>
  </si>
  <si>
    <t>The uppermost block is not shown here.</t>
  </si>
  <si>
    <t>s</t>
  </si>
  <si>
    <t>q</t>
  </si>
  <si>
    <t>w</t>
  </si>
  <si>
    <t>maximum(t')-minimum(t')</t>
  </si>
  <si>
    <t>The homogeneity test passes if maximum(t') - minimum (t') is &lt; than the "w" value</t>
  </si>
  <si>
    <r>
      <t>ASTM E826-14</t>
    </r>
    <r>
      <rPr>
        <sz val="11"/>
        <color theme="1"/>
        <rFont val="Open Sans"/>
        <family val="2"/>
      </rPr>
      <t xml:space="preserve">: </t>
    </r>
    <r>
      <rPr>
        <i/>
        <sz val="11"/>
        <color theme="1"/>
        <rFont val="Open Sans"/>
        <family val="2"/>
      </rPr>
      <t>Standard Practice for Testing Homogeneity of a Metal Lot or Batch in Solid</t>
    </r>
  </si>
  <si>
    <r>
      <rPr>
        <i/>
        <sz val="11"/>
        <color theme="1"/>
        <rFont val="Open Sans"/>
        <family val="2"/>
      </rPr>
      <t xml:space="preserve">form by Spark Atomic Emission Spectroscopy. </t>
    </r>
    <r>
      <rPr>
        <sz val="11"/>
        <color theme="1"/>
        <rFont val="Open Sans"/>
        <family val="2"/>
      </rPr>
      <t>ASTM International, West Conshohocken, PA, 2014</t>
    </r>
  </si>
  <si>
    <t>www.astm.org</t>
  </si>
  <si>
    <t>This type of homogeneity Test was performed on a total of 10 Apatite-NP Nano-Pellets. LA-ICP-MS data quantified using NIST 610 and Ca as internal standard.</t>
  </si>
  <si>
    <t>The amount of pellets needed varies with the amount of pellets produced.</t>
  </si>
  <si>
    <t>Ablation pattern on the pellet surface</t>
  </si>
  <si>
    <t>Homogeneity</t>
  </si>
  <si>
    <t>Result 1</t>
  </si>
  <si>
    <t>Result 2</t>
  </si>
  <si>
    <t>Result 3</t>
  </si>
  <si>
    <t>Result 4</t>
  </si>
  <si>
    <t>Result 5</t>
  </si>
  <si>
    <t>Result 6</t>
  </si>
  <si>
    <t>Result 7</t>
  </si>
  <si>
    <t>Apatite-NP-2020-07-B01-80</t>
  </si>
  <si>
    <t>Apatite-NP-2020-07-B01-22</t>
  </si>
  <si>
    <t>Apatite-NP-2020-07-B01-97</t>
  </si>
  <si>
    <t>Apatite-NP-2020-07-B01-37</t>
  </si>
  <si>
    <t>Apatite-NP-2020-07-B01-117</t>
  </si>
  <si>
    <t>Apatite-NP-2020-07-B01-68</t>
  </si>
  <si>
    <t>Apatite-NP-2020-07-B01-49</t>
  </si>
  <si>
    <t>Apatite-NP-2020-07-B01-11</t>
  </si>
  <si>
    <t>Apatite-NP-2020-07-B01-89</t>
  </si>
  <si>
    <t>Apatite-NP-2020-07-B01-10</t>
  </si>
  <si>
    <t>Stability</t>
  </si>
  <si>
    <t>Apatite-NP-2020-07-B01-40</t>
  </si>
  <si>
    <t>Apatite-NP-2020-07-B01-96</t>
  </si>
  <si>
    <t>Mean Sum of Squares</t>
  </si>
  <si>
    <t>P-Wert</t>
  </si>
  <si>
    <t>Pellet Evaluation</t>
  </si>
  <si>
    <t>following ISO Guide 35:2017 Annex C1. p. 89f</t>
  </si>
  <si>
    <r>
      <t>s</t>
    </r>
    <r>
      <rPr>
        <vertAlign val="superscript"/>
        <sz val="11"/>
        <color rgb="FF000000"/>
        <rFont val="Open Sans"/>
        <family val="2"/>
      </rPr>
      <t>2</t>
    </r>
    <r>
      <rPr>
        <vertAlign val="subscript"/>
        <sz val="11"/>
        <color rgb="FF000000"/>
        <rFont val="Open Sans"/>
        <family val="2"/>
      </rPr>
      <t>between</t>
    </r>
  </si>
  <si>
    <t>[µg^2/g^2]</t>
  </si>
  <si>
    <r>
      <t>s</t>
    </r>
    <r>
      <rPr>
        <vertAlign val="subscript"/>
        <sz val="11"/>
        <color rgb="FF000000"/>
        <rFont val="Open Sans"/>
        <family val="2"/>
      </rPr>
      <t>bb</t>
    </r>
  </si>
  <si>
    <r>
      <t>s</t>
    </r>
    <r>
      <rPr>
        <vertAlign val="subscript"/>
        <sz val="11"/>
        <color rgb="FF000000"/>
        <rFont val="Open Sans"/>
        <family val="2"/>
      </rPr>
      <t>r</t>
    </r>
  </si>
  <si>
    <t>Combined Unc. Homogeneity</t>
  </si>
  <si>
    <t>rel. combined Unc. Homogeneity</t>
  </si>
  <si>
    <t>following ISO 13528:2015 Annex E2. p. 68f</t>
  </si>
  <si>
    <t>Usability (expected RSD Horwitz)</t>
  </si>
  <si>
    <t>Usability decimal</t>
  </si>
  <si>
    <t xml:space="preserve">Average Homogeneity </t>
  </si>
  <si>
    <t>Standard deviation of Averages</t>
  </si>
  <si>
    <r>
      <t>s</t>
    </r>
    <r>
      <rPr>
        <vertAlign val="subscript"/>
        <sz val="11"/>
        <color rgb="FF000000"/>
        <rFont val="Open Sans"/>
        <family val="2"/>
      </rPr>
      <t>w</t>
    </r>
  </si>
  <si>
    <r>
      <t>s</t>
    </r>
    <r>
      <rPr>
        <vertAlign val="subscript"/>
        <sz val="11"/>
        <color rgb="FF000000"/>
        <rFont val="Open Sans"/>
        <family val="2"/>
      </rPr>
      <t>s</t>
    </r>
  </si>
  <si>
    <r>
      <t>σ</t>
    </r>
    <r>
      <rPr>
        <vertAlign val="subscript"/>
        <sz val="8.8000000000000007"/>
        <color rgb="FF000000"/>
        <rFont val="Open Sans"/>
        <family val="2"/>
      </rPr>
      <t>pt</t>
    </r>
  </si>
  <si>
    <t>Check value homogeneity</t>
  </si>
  <si>
    <t>Average Stability</t>
  </si>
  <si>
    <t>Absolute difference between Homogeneity Average</t>
  </si>
  <si>
    <t>Check value stability</t>
  </si>
  <si>
    <t>Certified Value and Uncertainty Calculation</t>
  </si>
  <si>
    <t>Uncertainty component Homogeneity</t>
  </si>
  <si>
    <t>Uncertainty component Stability</t>
  </si>
  <si>
    <t>Combined Uncertainty</t>
  </si>
  <si>
    <t>expansion factor</t>
  </si>
  <si>
    <t>Combined expanded Uncertainty @ 95 % CL</t>
  </si>
  <si>
    <t>Relative deviation from certified value</t>
  </si>
  <si>
    <t>%</t>
  </si>
  <si>
    <t>Horwitz relative deviation</t>
  </si>
  <si>
    <t>The quantified values on the Nano-Pellets are traceable to SRM NIST 610,</t>
  </si>
  <si>
    <t>but due to matrix-effects during LA-ICP-MS a factor for the uncertainty contribution</t>
  </si>
  <si>
    <t>Usability (exp. RSD Horwitz)</t>
  </si>
  <si>
    <t>from homogeneity and stability is calculated instead of using the quantified value.</t>
  </si>
  <si>
    <t>The certified value is derived from SI-traceable data from accredited</t>
  </si>
  <si>
    <t>(ISO 17025:2017) laboratories. Therefore the measured uncertainty contribution is</t>
  </si>
  <si>
    <t>used instead of a factor.</t>
  </si>
  <si>
    <t>A HORRAT of &lt; 1 up to 2 signifies a usable combined expanded Uncertainty.</t>
  </si>
  <si>
    <t>HORRAT of &gt;2 are unacceptable and the value becomes informative</t>
  </si>
  <si>
    <t>Ultimately, the decision whether an uncertainty is usable or not lies with the</t>
  </si>
  <si>
    <t>manufacturer and the material's intended use. Meaning even a HORRAT &gt; 2</t>
  </si>
  <si>
    <t>could still be deemed usable.</t>
  </si>
  <si>
    <t>Copyright © 2022 myStandards GmbH. All Rights Reserved.</t>
  </si>
  <si>
    <r>
      <t>EN ISO/IEC 17025:2017 (D/E)</t>
    </r>
    <r>
      <rPr>
        <sz val="11"/>
        <color theme="1"/>
        <rFont val="Open Sans"/>
        <family val="2"/>
      </rPr>
      <t>:</t>
    </r>
    <r>
      <rPr>
        <b/>
        <sz val="11"/>
        <color theme="1"/>
        <rFont val="Open Sans"/>
        <family val="2"/>
      </rPr>
      <t xml:space="preserve"> </t>
    </r>
    <r>
      <rPr>
        <i/>
        <sz val="11"/>
        <color theme="1"/>
        <rFont val="Open Sans"/>
        <family val="2"/>
      </rPr>
      <t>General requirements for the competence of testing and calibration laboratories</t>
    </r>
  </si>
  <si>
    <r>
      <t xml:space="preserve">ISO Guide 35:2017 (E): </t>
    </r>
    <r>
      <rPr>
        <i/>
        <sz val="11"/>
        <color theme="1"/>
        <rFont val="Open Sans"/>
        <family val="2"/>
      </rPr>
      <t>Reference materials – Guidance for characterization and assessment of homogeneity and stability</t>
    </r>
  </si>
  <si>
    <r>
      <t>Horwitz, W., Albert, R. (1995)</t>
    </r>
    <r>
      <rPr>
        <sz val="11"/>
        <color theme="1"/>
        <rFont val="Open Sans"/>
        <family val="2"/>
      </rPr>
      <t xml:space="preserve">. </t>
    </r>
    <r>
      <rPr>
        <i/>
        <sz val="11"/>
        <color theme="1"/>
        <rFont val="Open Sans"/>
        <family val="2"/>
      </rPr>
      <t xml:space="preserve">Precision in analytical measurements: Expected values and </t>
    </r>
  </si>
  <si>
    <r>
      <t xml:space="preserve">and consequences in geochemical analyses. </t>
    </r>
    <r>
      <rPr>
        <sz val="11"/>
        <color theme="1"/>
        <rFont val="Open Sans"/>
        <family val="2"/>
      </rPr>
      <t>Fresenius Journal of Analytical Chemistry.</t>
    </r>
  </si>
  <si>
    <r>
      <t>ISO 13528:2015 (E)</t>
    </r>
    <r>
      <rPr>
        <sz val="11"/>
        <color theme="1"/>
        <rFont val="Open Sans"/>
        <family val="2"/>
      </rPr>
      <t>:</t>
    </r>
    <r>
      <rPr>
        <b/>
        <sz val="11"/>
        <color theme="1"/>
        <rFont val="Open Sans"/>
        <family val="2"/>
      </rPr>
      <t xml:space="preserve"> </t>
    </r>
    <r>
      <rPr>
        <i/>
        <sz val="11"/>
        <color theme="1"/>
        <rFont val="Open Sans"/>
        <family val="2"/>
      </rPr>
      <t>Statistical methods for use in proficiency testing by interlaboratory comparison</t>
    </r>
  </si>
  <si>
    <r>
      <t>ISO Guide 35:2017 (E)</t>
    </r>
    <r>
      <rPr>
        <sz val="11"/>
        <color theme="1"/>
        <rFont val="Open Sans"/>
        <family val="2"/>
      </rPr>
      <t>:</t>
    </r>
    <r>
      <rPr>
        <b/>
        <sz val="11"/>
        <color theme="1"/>
        <rFont val="Open Sans"/>
        <family val="2"/>
      </rPr>
      <t xml:space="preserve"> </t>
    </r>
    <r>
      <rPr>
        <i/>
        <sz val="11"/>
        <color theme="1"/>
        <rFont val="Open Sans"/>
        <family val="2"/>
      </rPr>
      <t>Reference materials – Guidance for characterization and assessment of homogeneity and stability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</si>
</sst>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26"/>
      <color theme="1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Open Sans"/>
      <family val="2"/>
    </font>
    <font>
      <sz val="12"/>
      <color theme="1"/>
      <name val="Calibri"/>
      <family val="2"/>
      <scheme val="minor"/>
    </font>
    <font>
      <sz val="12"/>
      <color theme="1"/>
      <name val="Open Sans"/>
      <family val="2"/>
    </font>
    <font>
      <u/>
      <sz val="11"/>
      <color theme="10"/>
      <name val="Calibri"/>
      <family val="2"/>
      <scheme val="minor"/>
    </font>
    <font>
      <b/>
      <sz val="22"/>
      <name val="Open Sans"/>
      <family val="2"/>
    </font>
    <font>
      <b/>
      <sz val="12"/>
      <color rgb="FF000000"/>
      <name val="Open Sans"/>
      <family val="2"/>
    </font>
    <font>
      <sz val="11"/>
      <color rgb="FF000000"/>
      <name val="Open Sans"/>
      <family val="2"/>
    </font>
    <font>
      <sz val="11"/>
      <color rgb="FF3F3F3F"/>
      <name val="Open Sans"/>
      <family val="2"/>
    </font>
    <font>
      <b/>
      <sz val="22"/>
      <color theme="1"/>
      <name val="Open Sans"/>
      <family val="2"/>
    </font>
    <font>
      <i/>
      <sz val="11"/>
      <color rgb="FF7F7F7F"/>
      <name val="Open Sans"/>
      <family val="2"/>
    </font>
    <font>
      <sz val="11"/>
      <name val="Open Sans"/>
      <family val="2"/>
    </font>
    <font>
      <b/>
      <sz val="11"/>
      <color rgb="FF000000"/>
      <name val="Open Sans"/>
      <family val="2"/>
    </font>
    <font>
      <sz val="11"/>
      <color rgb="FF3F3F76"/>
      <name val="Open Sans"/>
      <family val="2"/>
    </font>
    <font>
      <i/>
      <sz val="11"/>
      <color rgb="FF000000"/>
      <name val="Open Sans"/>
      <family val="2"/>
    </font>
    <font>
      <b/>
      <sz val="20"/>
      <color theme="1"/>
      <name val="Open Sans"/>
      <family val="2"/>
    </font>
    <font>
      <b/>
      <sz val="11"/>
      <color rgb="FFFA7D00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sz val="12"/>
      <color rgb="FF000000"/>
      <name val="Open Sans"/>
      <family val="2"/>
    </font>
    <font>
      <b/>
      <sz val="11"/>
      <color rgb="FFFFFFFF"/>
      <name val="Open Sans"/>
      <family val="2"/>
    </font>
    <font>
      <b/>
      <sz val="11"/>
      <color rgb="FF3F3F3F"/>
      <name val="Open Sans"/>
      <family val="2"/>
    </font>
    <font>
      <vertAlign val="superscript"/>
      <sz val="11"/>
      <color rgb="FF000000"/>
      <name val="Open Sans"/>
      <family val="2"/>
    </font>
    <font>
      <vertAlign val="subscript"/>
      <sz val="11"/>
      <color rgb="FF000000"/>
      <name val="Open Sans"/>
      <family val="2"/>
    </font>
    <font>
      <vertAlign val="subscript"/>
      <sz val="8.8000000000000007"/>
      <color rgb="FF000000"/>
      <name val="Open Sans"/>
      <family val="2"/>
    </font>
    <font>
      <b/>
      <sz val="18"/>
      <color theme="1"/>
      <name val="Open Sans"/>
      <family val="2"/>
    </font>
    <font>
      <i/>
      <sz val="11"/>
      <color theme="1"/>
      <name val="Open Sans"/>
      <family val="2"/>
    </font>
    <font>
      <u/>
      <sz val="11"/>
      <name val="Open Sans"/>
      <family val="2"/>
    </font>
    <font>
      <b/>
      <sz val="11"/>
      <color theme="1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808080"/>
        <bgColor rgb="FF000000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" fillId="0" borderId="0"/>
  </cellStyleXfs>
  <cellXfs count="10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1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1" fontId="7" fillId="0" borderId="0" xfId="0" applyNumberFormat="1" applyFont="1"/>
    <xf numFmtId="0" fontId="12" fillId="0" borderId="0" xfId="5" applyFont="1"/>
    <xf numFmtId="0" fontId="8" fillId="0" borderId="0" xfId="1" applyFont="1" applyFill="1" applyBorder="1"/>
    <xf numFmtId="0" fontId="14" fillId="0" borderId="0" xfId="2" applyFont="1" applyFill="1" applyBorder="1"/>
    <xf numFmtId="0" fontId="7" fillId="0" borderId="0" xfId="7" applyFont="1"/>
    <xf numFmtId="0" fontId="15" fillId="0" borderId="0" xfId="0" applyFont="1"/>
    <xf numFmtId="0" fontId="16" fillId="0" borderId="3" xfId="0" applyFont="1" applyBorder="1"/>
    <xf numFmtId="0" fontId="16" fillId="0" borderId="4" xfId="0" applyFont="1" applyBorder="1"/>
    <xf numFmtId="1" fontId="17" fillId="0" borderId="5" xfId="2" applyNumberFormat="1" applyFont="1" applyFill="1" applyBorder="1"/>
    <xf numFmtId="0" fontId="10" fillId="0" borderId="0" xfId="0" applyFont="1" applyAlignment="1">
      <alignment horizontal="center"/>
    </xf>
    <xf numFmtId="0" fontId="16" fillId="0" borderId="6" xfId="0" applyFont="1" applyBorder="1"/>
    <xf numFmtId="0" fontId="16" fillId="0" borderId="0" xfId="0" applyFont="1"/>
    <xf numFmtId="1" fontId="17" fillId="0" borderId="7" xfId="2" applyNumberFormat="1" applyFont="1" applyFill="1" applyBorder="1"/>
    <xf numFmtId="1" fontId="17" fillId="0" borderId="0" xfId="2" applyNumberFormat="1" applyFont="1" applyFill="1" applyBorder="1" applyAlignment="1">
      <alignment horizontal="center"/>
    </xf>
    <xf numFmtId="1" fontId="9" fillId="0" borderId="0" xfId="3" applyNumberFormat="1" applyFont="1" applyFill="1" applyBorder="1" applyAlignment="1">
      <alignment horizontal="center"/>
    </xf>
    <xf numFmtId="1" fontId="7" fillId="0" borderId="0" xfId="3" applyNumberFormat="1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9" fillId="0" borderId="0" xfId="4" applyFont="1" applyFill="1" applyBorder="1" applyProtection="1"/>
    <xf numFmtId="0" fontId="16" fillId="0" borderId="8" xfId="0" applyFont="1" applyBorder="1"/>
    <xf numFmtId="0" fontId="16" fillId="0" borderId="9" xfId="0" applyFont="1" applyBorder="1"/>
    <xf numFmtId="1" fontId="17" fillId="0" borderId="10" xfId="2" applyNumberFormat="1" applyFont="1" applyFill="1" applyBorder="1"/>
    <xf numFmtId="0" fontId="7" fillId="0" borderId="7" xfId="0" applyFont="1" applyBorder="1"/>
    <xf numFmtId="1" fontId="17" fillId="0" borderId="4" xfId="2" applyNumberFormat="1" applyFont="1" applyFill="1" applyBorder="1"/>
    <xf numFmtId="0" fontId="7" fillId="0" borderId="6" xfId="0" applyFont="1" applyBorder="1"/>
    <xf numFmtId="1" fontId="17" fillId="0" borderId="0" xfId="2" applyNumberFormat="1" applyFont="1" applyFill="1" applyBorder="1"/>
    <xf numFmtId="0" fontId="20" fillId="0" borderId="6" xfId="0" applyFont="1" applyBorder="1"/>
    <xf numFmtId="0" fontId="19" fillId="4" borderId="1" xfId="4" applyFont="1" applyFill="1" applyBorder="1" applyProtection="1"/>
    <xf numFmtId="1" fontId="17" fillId="0" borderId="9" xfId="2" applyNumberFormat="1" applyFont="1" applyFill="1" applyBorder="1"/>
    <xf numFmtId="0" fontId="21" fillId="0" borderId="0" xfId="0" applyFont="1"/>
    <xf numFmtId="1" fontId="9" fillId="0" borderId="0" xfId="2" applyNumberFormat="1" applyFont="1" applyFill="1" applyBorder="1" applyAlignment="1">
      <alignment horizontal="center"/>
    </xf>
    <xf numFmtId="0" fontId="15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22" fillId="5" borderId="11" xfId="1" applyFont="1" applyFill="1" applyBorder="1"/>
    <xf numFmtId="0" fontId="10" fillId="0" borderId="0" xfId="0" applyFont="1"/>
    <xf numFmtId="1" fontId="10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9" fillId="0" borderId="4" xfId="3" applyFont="1" applyFill="1" applyBorder="1" applyAlignment="1"/>
    <xf numFmtId="1" fontId="9" fillId="0" borderId="4" xfId="3" applyNumberFormat="1" applyFont="1" applyFill="1" applyBorder="1" applyAlignment="1"/>
    <xf numFmtId="0" fontId="9" fillId="0" borderId="0" xfId="3" applyFont="1" applyFill="1" applyBorder="1" applyAlignment="1"/>
    <xf numFmtId="1" fontId="9" fillId="0" borderId="0" xfId="3" applyNumberFormat="1" applyFont="1" applyFill="1" applyBorder="1" applyAlignment="1"/>
    <xf numFmtId="164" fontId="9" fillId="0" borderId="0" xfId="2" applyNumberFormat="1" applyFont="1" applyFill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19" fillId="4" borderId="1" xfId="4" applyFont="1" applyFill="1" applyBorder="1" applyAlignment="1" applyProtection="1">
      <alignment horizontal="right"/>
    </xf>
    <xf numFmtId="0" fontId="9" fillId="0" borderId="0" xfId="0" applyFont="1" applyAlignment="1">
      <alignment vertical="center"/>
    </xf>
    <xf numFmtId="0" fontId="9" fillId="0" borderId="9" xfId="3" applyFont="1" applyFill="1" applyBorder="1" applyAlignment="1"/>
    <xf numFmtId="1" fontId="9" fillId="0" borderId="9" xfId="3" applyNumberFormat="1" applyFont="1" applyFill="1" applyBorder="1" applyAlignment="1"/>
    <xf numFmtId="0" fontId="7" fillId="0" borderId="0" xfId="0" applyFont="1" applyAlignment="1">
      <alignment vertical="center"/>
    </xf>
    <xf numFmtId="0" fontId="20" fillId="0" borderId="0" xfId="0" applyFont="1"/>
    <xf numFmtId="0" fontId="20" fillId="0" borderId="7" xfId="0" applyFont="1" applyBorder="1"/>
    <xf numFmtId="165" fontId="25" fillId="0" borderId="4" xfId="3" applyNumberFormat="1" applyFont="1" applyFill="1" applyBorder="1" applyAlignment="1"/>
    <xf numFmtId="165" fontId="9" fillId="0" borderId="4" xfId="3" applyNumberFormat="1" applyFont="1" applyFill="1" applyBorder="1" applyAlignment="1"/>
    <xf numFmtId="0" fontId="26" fillId="0" borderId="0" xfId="0" applyFont="1"/>
    <xf numFmtId="0" fontId="7" fillId="0" borderId="0" xfId="1" applyFont="1" applyFill="1" applyBorder="1"/>
    <xf numFmtId="0" fontId="9" fillId="0" borderId="0" xfId="2" applyFont="1" applyFill="1" applyBorder="1"/>
    <xf numFmtId="0" fontId="28" fillId="0" borderId="0" xfId="0" applyFont="1"/>
    <xf numFmtId="1" fontId="9" fillId="0" borderId="0" xfId="2" applyNumberFormat="1" applyFont="1" applyFill="1" applyBorder="1"/>
    <xf numFmtId="2" fontId="9" fillId="0" borderId="0" xfId="2" applyNumberFormat="1" applyFont="1" applyFill="1" applyBorder="1"/>
    <xf numFmtId="165" fontId="25" fillId="4" borderId="4" xfId="3" applyNumberFormat="1" applyFont="1" applyFill="1" applyBorder="1" applyAlignment="1"/>
    <xf numFmtId="2" fontId="25" fillId="4" borderId="4" xfId="3" applyNumberFormat="1" applyFont="1" applyFill="1" applyBorder="1" applyAlignment="1"/>
    <xf numFmtId="0" fontId="19" fillId="0" borderId="0" xfId="4" applyFont="1" applyFill="1" applyBorder="1"/>
    <xf numFmtId="0" fontId="15" fillId="0" borderId="0" xfId="0" applyFont="1" applyAlignment="1">
      <alignment horizontal="center"/>
    </xf>
    <xf numFmtId="1" fontId="30" fillId="0" borderId="0" xfId="2" applyNumberFormat="1" applyFont="1" applyFill="1" applyBorder="1" applyAlignment="1">
      <alignment horizontal="center"/>
    </xf>
    <xf numFmtId="166" fontId="9" fillId="0" borderId="4" xfId="3" applyNumberFormat="1" applyFont="1" applyFill="1" applyBorder="1" applyAlignment="1"/>
    <xf numFmtId="0" fontId="18" fillId="0" borderId="3" xfId="2" applyFont="1" applyFill="1" applyBorder="1" applyAlignment="1"/>
    <xf numFmtId="2" fontId="9" fillId="0" borderId="0" xfId="2" applyNumberFormat="1" applyFont="1" applyFill="1" applyBorder="1" applyAlignment="1">
      <alignment horizontal="center"/>
    </xf>
    <xf numFmtId="2" fontId="9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Border="1" applyAlignment="1">
      <alignment horizontal="center"/>
    </xf>
    <xf numFmtId="0" fontId="10" fillId="0" borderId="6" xfId="4" applyFont="1" applyFill="1" applyBorder="1"/>
    <xf numFmtId="1" fontId="9" fillId="0" borderId="9" xfId="2" applyNumberFormat="1" applyFont="1" applyFill="1" applyBorder="1" applyAlignment="1">
      <alignment horizontal="center"/>
    </xf>
    <xf numFmtId="0" fontId="34" fillId="0" borderId="0" xfId="0" applyFont="1"/>
    <xf numFmtId="2" fontId="7" fillId="0" borderId="0" xfId="0" applyNumberFormat="1" applyFont="1" applyAlignment="1">
      <alignment horizontal="center"/>
    </xf>
    <xf numFmtId="0" fontId="36" fillId="0" borderId="0" xfId="6" applyFont="1"/>
    <xf numFmtId="0" fontId="35" fillId="0" borderId="0" xfId="0" applyFont="1" applyAlignment="1">
      <alignment vertical="center"/>
    </xf>
    <xf numFmtId="0" fontId="37" fillId="0" borderId="0" xfId="0" applyFont="1"/>
    <xf numFmtId="164" fontId="29" fillId="6" borderId="9" xfId="2" applyNumberFormat="1" applyFont="1" applyFill="1" applyBorder="1"/>
    <xf numFmtId="164" fontId="9" fillId="0" borderId="0" xfId="2" applyNumberFormat="1" applyFont="1" applyFill="1" applyBorder="1"/>
    <xf numFmtId="0" fontId="18" fillId="0" borderId="3" xfId="2" applyFont="1" applyFill="1" applyBorder="1" applyAlignment="1">
      <alignment horizontal="left"/>
    </xf>
    <xf numFmtId="0" fontId="18" fillId="0" borderId="6" xfId="2" applyFont="1" applyFill="1" applyBorder="1" applyAlignment="1">
      <alignment horizontal="left"/>
    </xf>
    <xf numFmtId="0" fontId="24" fillId="0" borderId="3" xfId="2" applyFont="1" applyFill="1" applyBorder="1" applyAlignment="1">
      <alignment horizontal="left"/>
    </xf>
    <xf numFmtId="0" fontId="24" fillId="0" borderId="4" xfId="2" applyFont="1" applyFill="1" applyBorder="1" applyAlignment="1">
      <alignment horizontal="left"/>
    </xf>
    <xf numFmtId="0" fontId="24" fillId="0" borderId="6" xfId="2" applyFont="1" applyFill="1" applyBorder="1" applyAlignment="1">
      <alignment horizontal="left"/>
    </xf>
    <xf numFmtId="0" fontId="24" fillId="0" borderId="0" xfId="2" applyFont="1" applyFill="1" applyBorder="1" applyAlignment="1">
      <alignment horizontal="left"/>
    </xf>
    <xf numFmtId="0" fontId="10" fillId="0" borderId="6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</cellXfs>
  <cellStyles count="8">
    <cellStyle name="Ausgabe" xfId="2" builtinId="21"/>
    <cellStyle name="Berechnung" xfId="3" builtinId="22"/>
    <cellStyle name="Eingabe" xfId="1" builtinId="20"/>
    <cellStyle name="Erklärender Text" xfId="4" builtinId="53"/>
    <cellStyle name="Link" xfId="6" builtinId="8"/>
    <cellStyle name="Normal 2" xfId="7" xr:uid="{284937C6-665B-43A7-AC91-014A1B391051}"/>
    <cellStyle name="Standard" xfId="0" builtinId="0"/>
    <cellStyle name="Standard 2" xfId="5" xr:uid="{F700B0C2-DA67-4E30-9A37-F54F1C000DCB}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22</xdr:row>
      <xdr:rowOff>121920</xdr:rowOff>
    </xdr:from>
    <xdr:to>
      <xdr:col>4</xdr:col>
      <xdr:colOff>216535</xdr:colOff>
      <xdr:row>27</xdr:row>
      <xdr:rowOff>130810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E06F364-46F9-4296-9F84-690C8C149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4853940"/>
          <a:ext cx="4859020" cy="100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</xdr:colOff>
      <xdr:row>84</xdr:row>
      <xdr:rowOff>32656</xdr:rowOff>
    </xdr:from>
    <xdr:to>
      <xdr:col>4</xdr:col>
      <xdr:colOff>548277</xdr:colOff>
      <xdr:row>89</xdr:row>
      <xdr:rowOff>56241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1A23A1E-4DC9-4769-98B7-693343C3F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14" y="17276716"/>
          <a:ext cx="4856843" cy="101418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52</xdr:row>
      <xdr:rowOff>88174</xdr:rowOff>
    </xdr:from>
    <xdr:to>
      <xdr:col>6</xdr:col>
      <xdr:colOff>381001</xdr:colOff>
      <xdr:row>78</xdr:row>
      <xdr:rowOff>4711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6E1C5E0-7551-41C2-851A-552BCEA9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9341" y="10969534"/>
          <a:ext cx="8023860" cy="5052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83820</xdr:rowOff>
    </xdr:from>
    <xdr:to>
      <xdr:col>2</xdr:col>
      <xdr:colOff>1001607</xdr:colOff>
      <xdr:row>79</xdr:row>
      <xdr:rowOff>133774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382461F-2961-4B79-AEEF-70D99060E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529560"/>
          <a:ext cx="4857327" cy="1040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39</xdr:row>
      <xdr:rowOff>144780</xdr:rowOff>
    </xdr:from>
    <xdr:to>
      <xdr:col>3</xdr:col>
      <xdr:colOff>578485</xdr:colOff>
      <xdr:row>44</xdr:row>
      <xdr:rowOff>161290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1EBF508-46D2-40C8-B93D-42C099816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8663940"/>
          <a:ext cx="485902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tm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7E47D-69EE-461B-8086-8C5406B31A95}">
  <dimension ref="A1:I22"/>
  <sheetViews>
    <sheetView showGridLines="0" tabSelected="1" zoomScaleNormal="100" workbookViewId="0"/>
  </sheetViews>
  <sheetFormatPr baseColWidth="10" defaultRowHeight="17.399999999999999" x14ac:dyDescent="0.45"/>
  <cols>
    <col min="1" max="1" width="21.88671875" style="2" customWidth="1"/>
    <col min="2" max="2" width="21.21875" style="2" customWidth="1"/>
    <col min="3" max="5" width="12.44140625" style="2" bestFit="1" customWidth="1"/>
    <col min="6" max="6" width="11.5546875" style="2"/>
    <col min="7" max="7" width="39.5546875" style="2" customWidth="1"/>
    <col min="8" max="16384" width="11.5546875" style="2"/>
  </cols>
  <sheetData>
    <row r="1" spans="1:9" ht="40.799999999999997" x14ac:dyDescent="1">
      <c r="A1" s="1" t="s">
        <v>0</v>
      </c>
    </row>
    <row r="3" spans="1:9" ht="22.2" x14ac:dyDescent="0.55000000000000004">
      <c r="A3" s="3" t="s">
        <v>1</v>
      </c>
      <c r="B3" s="3" t="s">
        <v>2</v>
      </c>
      <c r="C3" s="3" t="s">
        <v>3</v>
      </c>
    </row>
    <row r="5" spans="1:9" x14ac:dyDescent="0.45">
      <c r="B5" s="4" t="s">
        <v>4</v>
      </c>
      <c r="C5" s="4" t="s">
        <v>5</v>
      </c>
      <c r="D5" s="4" t="s">
        <v>6</v>
      </c>
      <c r="E5" s="4" t="s">
        <v>7</v>
      </c>
      <c r="G5" s="5" t="s">
        <v>8</v>
      </c>
      <c r="H5" s="6">
        <f>AVERAGE(B6:E13)</f>
        <v>2705.1415416694813</v>
      </c>
      <c r="I5" s="7" t="s">
        <v>3</v>
      </c>
    </row>
    <row r="6" spans="1:9" x14ac:dyDescent="0.45">
      <c r="A6" s="8" t="s">
        <v>9</v>
      </c>
      <c r="B6" s="9">
        <v>2600</v>
      </c>
      <c r="C6" s="9">
        <v>2795</v>
      </c>
      <c r="D6" s="9">
        <v>2705.9130082320808</v>
      </c>
      <c r="E6" s="9">
        <v>2621.3532267248283</v>
      </c>
      <c r="G6" s="10" t="s">
        <v>10</v>
      </c>
      <c r="H6" s="11">
        <f>_xlfn.STDEV.S(B6:E13)/SQRT(COUNT(B6:E13))</f>
        <v>12.547403146586916</v>
      </c>
      <c r="I6" s="7" t="s">
        <v>3</v>
      </c>
    </row>
    <row r="7" spans="1:9" x14ac:dyDescent="0.45">
      <c r="A7" s="8" t="s">
        <v>11</v>
      </c>
      <c r="B7" s="9">
        <v>2690</v>
      </c>
      <c r="C7" s="9">
        <v>2685</v>
      </c>
      <c r="D7" s="9">
        <v>2663.6331174784546</v>
      </c>
      <c r="E7" s="9">
        <v>2663.6331174784546</v>
      </c>
    </row>
    <row r="8" spans="1:9" x14ac:dyDescent="0.45">
      <c r="A8" s="8" t="s">
        <v>12</v>
      </c>
      <c r="B8" s="9">
        <v>2600</v>
      </c>
      <c r="C8" s="9">
        <v>2685</v>
      </c>
      <c r="D8" s="9">
        <v>2621.3532267248283</v>
      </c>
      <c r="E8" s="9">
        <v>2663.6331174784546</v>
      </c>
      <c r="G8" s="2" t="s">
        <v>13</v>
      </c>
    </row>
    <row r="9" spans="1:9" x14ac:dyDescent="0.45">
      <c r="A9" s="8" t="s">
        <v>14</v>
      </c>
      <c r="B9" s="9">
        <v>2780</v>
      </c>
      <c r="C9" s="9">
        <v>2750</v>
      </c>
      <c r="D9" s="9">
        <v>2705.9130082320808</v>
      </c>
      <c r="E9" s="9">
        <v>2663.6331174784546</v>
      </c>
      <c r="G9" s="2" t="s">
        <v>15</v>
      </c>
    </row>
    <row r="10" spans="1:9" x14ac:dyDescent="0.45">
      <c r="A10" s="8" t="s">
        <v>16</v>
      </c>
      <c r="B10" s="9">
        <v>2615</v>
      </c>
      <c r="C10" s="9">
        <v>2840</v>
      </c>
      <c r="D10" s="9">
        <v>2705.9130082320808</v>
      </c>
      <c r="E10" s="9">
        <v>2663.6331174784546</v>
      </c>
    </row>
    <row r="11" spans="1:9" x14ac:dyDescent="0.45">
      <c r="A11" s="8" t="s">
        <v>17</v>
      </c>
      <c r="B11" s="9">
        <v>2745</v>
      </c>
      <c r="C11" s="9">
        <v>2830</v>
      </c>
      <c r="D11" s="9">
        <v>2663.6331174784546</v>
      </c>
      <c r="E11" s="9">
        <v>2663.6331174784546</v>
      </c>
    </row>
    <row r="12" spans="1:9" x14ac:dyDescent="0.45">
      <c r="A12" s="8" t="s">
        <v>18</v>
      </c>
      <c r="B12" s="9">
        <v>2680</v>
      </c>
      <c r="C12" s="9">
        <v>2840</v>
      </c>
      <c r="D12" s="9">
        <v>2663.6331174784546</v>
      </c>
      <c r="E12" s="9">
        <v>2705.9130082320808</v>
      </c>
      <c r="I12" s="12"/>
    </row>
    <row r="13" spans="1:9" x14ac:dyDescent="0.45">
      <c r="A13" s="8" t="s">
        <v>19</v>
      </c>
      <c r="B13" s="9">
        <v>2810</v>
      </c>
      <c r="C13" s="9">
        <v>2790</v>
      </c>
      <c r="D13" s="9">
        <v>2663.6331174784546</v>
      </c>
      <c r="E13" s="9">
        <v>2790.4727897393341</v>
      </c>
    </row>
    <row r="14" spans="1:9" x14ac:dyDescent="0.45">
      <c r="A14" s="8"/>
      <c r="B14" s="9"/>
      <c r="C14" s="9"/>
      <c r="D14" s="9"/>
      <c r="E14" s="9"/>
    </row>
    <row r="15" spans="1:9" x14ac:dyDescent="0.45">
      <c r="A15" s="2" t="s">
        <v>20</v>
      </c>
      <c r="B15" s="9"/>
      <c r="C15" s="9"/>
      <c r="D15" s="9"/>
      <c r="E15" s="9"/>
    </row>
    <row r="17" spans="1:5" x14ac:dyDescent="0.45">
      <c r="A17" s="2" t="s">
        <v>21</v>
      </c>
    </row>
    <row r="18" spans="1:5" x14ac:dyDescent="0.45">
      <c r="A18" s="8"/>
    </row>
    <row r="19" spans="1:5" x14ac:dyDescent="0.45">
      <c r="A19" s="8" t="s">
        <v>203</v>
      </c>
    </row>
    <row r="20" spans="1:5" x14ac:dyDescent="0.45">
      <c r="A20" s="8" t="s">
        <v>204</v>
      </c>
    </row>
    <row r="22" spans="1:5" ht="18.600000000000001" x14ac:dyDescent="0.45">
      <c r="A22" s="13" t="s">
        <v>202</v>
      </c>
      <c r="B22" s="13"/>
      <c r="C22" s="13"/>
      <c r="D22" s="13"/>
      <c r="E22" s="1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1E06-692C-4EBE-BC01-8EF604928CCC}">
  <dimension ref="A2:T84"/>
  <sheetViews>
    <sheetView showGridLines="0" zoomScale="70" zoomScaleNormal="70" workbookViewId="0"/>
  </sheetViews>
  <sheetFormatPr baseColWidth="10" defaultRowHeight="17.399999999999999" x14ac:dyDescent="0.45"/>
  <cols>
    <col min="1" max="1" width="33.5546875" style="2" customWidth="1"/>
    <col min="2" max="2" width="3" style="2" bestFit="1" customWidth="1"/>
    <col min="3" max="3" width="15.6640625" style="2" bestFit="1" customWidth="1"/>
    <col min="4" max="4" width="11.5546875" style="2"/>
    <col min="5" max="5" width="56.6640625" style="2" customWidth="1"/>
    <col min="6" max="6" width="25.109375" style="2" bestFit="1" customWidth="1"/>
    <col min="7" max="7" width="21.5546875" style="2" bestFit="1" customWidth="1"/>
    <col min="8" max="8" width="32" style="2" bestFit="1" customWidth="1"/>
    <col min="9" max="9" width="15.33203125" style="2" bestFit="1" customWidth="1"/>
    <col min="10" max="10" width="10.33203125" style="2" bestFit="1" customWidth="1"/>
    <col min="11" max="11" width="19.77734375" style="2" bestFit="1" customWidth="1"/>
    <col min="12" max="12" width="19.33203125" style="2" customWidth="1"/>
    <col min="13" max="13" width="11.5546875" style="2"/>
    <col min="14" max="14" width="23.44140625" style="2" customWidth="1"/>
    <col min="15" max="15" width="38.88671875" style="2" customWidth="1"/>
    <col min="16" max="16" width="10.88671875" style="2" bestFit="1" customWidth="1"/>
    <col min="17" max="17" width="9" style="2" bestFit="1" customWidth="1"/>
    <col min="18" max="18" width="11.5546875" style="2"/>
    <col min="19" max="19" width="19.88671875" style="2" bestFit="1" customWidth="1"/>
    <col min="20" max="20" width="9" style="2" bestFit="1" customWidth="1"/>
    <col min="21" max="16384" width="11.5546875" style="2"/>
  </cols>
  <sheetData>
    <row r="2" spans="1:20" ht="36" x14ac:dyDescent="0.9">
      <c r="A2" s="3" t="s">
        <v>1</v>
      </c>
      <c r="C2" s="14" t="s">
        <v>22</v>
      </c>
      <c r="E2" s="15" t="s">
        <v>23</v>
      </c>
    </row>
    <row r="3" spans="1:20" ht="19.2" thickBot="1" x14ac:dyDescent="0.5">
      <c r="A3" s="8" t="s">
        <v>24</v>
      </c>
      <c r="C3" s="16"/>
      <c r="E3" s="17"/>
    </row>
    <row r="4" spans="1:20" x14ac:dyDescent="0.45">
      <c r="A4" s="18" t="s">
        <v>25</v>
      </c>
      <c r="B4" s="19" t="s">
        <v>26</v>
      </c>
      <c r="C4" s="20">
        <v>2102.9353497962902</v>
      </c>
      <c r="E4" s="7"/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N4" s="4" t="s">
        <v>34</v>
      </c>
      <c r="O4" s="7" t="s">
        <v>35</v>
      </c>
      <c r="P4" s="21" t="s">
        <v>36</v>
      </c>
    </row>
    <row r="5" spans="1:20" x14ac:dyDescent="0.45">
      <c r="A5" s="22" t="s">
        <v>37</v>
      </c>
      <c r="B5" s="23" t="s">
        <v>38</v>
      </c>
      <c r="C5" s="24">
        <v>2107.8838721229499</v>
      </c>
      <c r="E5" s="4" t="s">
        <v>39</v>
      </c>
      <c r="F5" s="25">
        <f>_xlfn.XLOOKUP("1a",$B$4:$B$33,$C$4:$C$33,"nein")</f>
        <v>2102.9353497962902</v>
      </c>
      <c r="G5" s="25">
        <f>_xlfn.XLOOKUP("2a",$B$4:$B$33,$C$4:$C$33,"nein")</f>
        <v>2119.8305433219398</v>
      </c>
      <c r="H5" s="25">
        <f>_xlfn.XLOOKUP("3a",$B$4:$B$33,$C$4:$C$33,"nein")</f>
        <v>2096.5516311443898</v>
      </c>
      <c r="I5" s="25">
        <f>_xlfn.XLOOKUP("4a",$B$4:$B$33,$C$4:$C$33,"nein")</f>
        <v>2145.5503612236998</v>
      </c>
      <c r="J5" s="25">
        <f>_xlfn.XLOOKUP("5a",$B$4:$B$33,$C$4:$C$33,"nein")</f>
        <v>2106.8875875284298</v>
      </c>
      <c r="K5" s="25">
        <f>_xlfn.XLOOKUP("6a",$B$4:$B$33,$C$4:$C$33,"nein")</f>
        <v>2107.8838721229499</v>
      </c>
      <c r="L5" s="25">
        <f>_xlfn.XLOOKUP("7a",$B$4:$B$33,$C$4:$C$33,"nein")</f>
        <v>2100.1255547391202</v>
      </c>
      <c r="N5" s="26">
        <f>AVERAGE(F5:L5)</f>
        <v>2111.3949856966888</v>
      </c>
      <c r="O5" s="27">
        <f>_xlfn.STDEV.S(F5:L5)</f>
        <v>16.779370045063107</v>
      </c>
      <c r="P5" s="28">
        <f>O5/N5*100</f>
        <v>0.79470540371329357</v>
      </c>
    </row>
    <row r="6" spans="1:20" x14ac:dyDescent="0.45">
      <c r="A6" s="22" t="s">
        <v>40</v>
      </c>
      <c r="B6" s="23" t="s">
        <v>41</v>
      </c>
      <c r="C6" s="24">
        <v>2100.1255547391202</v>
      </c>
      <c r="E6" s="4" t="s">
        <v>42</v>
      </c>
      <c r="F6" s="25">
        <f>_xlfn.XLOOKUP("1b",$B$4:$B$33,$C$4:$C$33,"nein")</f>
        <v>2087.9861906835799</v>
      </c>
      <c r="G6" s="25">
        <f>_xlfn.XLOOKUP("2b",$B$4:$B$33,$C$4:$C$33,"nein")</f>
        <v>2092.1626436308102</v>
      </c>
      <c r="H6" s="25">
        <f>_xlfn.XLOOKUP("3b",$B$4:$B$33,$C$4:$C$33,"nein")</f>
        <v>2083.5472761625601</v>
      </c>
      <c r="I6" s="25">
        <f>_xlfn.XLOOKUP("4b",$B$4:$B$33,$C$4:$C$33,"nein")</f>
        <v>2104.6936688966098</v>
      </c>
      <c r="J6" s="25">
        <f>_xlfn.XLOOKUP("5b",$B$4:$B$33,$C$4:$C$33,"nein")</f>
        <v>2110.7049236863099</v>
      </c>
      <c r="K6" s="25">
        <f>_xlfn.XLOOKUP("6b",$B$4:$B$33,$C$4:$C$33,"nein")</f>
        <v>2082.9165578857001</v>
      </c>
      <c r="L6" s="25">
        <f>_xlfn.XLOOKUP("7b",$B$4:$B$33,$C$4:$C$33,"nein")</f>
        <v>2113.7360432416199</v>
      </c>
      <c r="N6" s="26">
        <f>AVERAGE(F6:L6)</f>
        <v>2096.5353291695983</v>
      </c>
      <c r="O6" s="27">
        <f>_xlfn.STDEV.S(F6:L6)</f>
        <v>12.971565571971972</v>
      </c>
      <c r="P6" s="28">
        <f>O6/N6*100</f>
        <v>0.6187143804111227</v>
      </c>
    </row>
    <row r="7" spans="1:20" x14ac:dyDescent="0.45">
      <c r="A7" s="22" t="s">
        <v>43</v>
      </c>
      <c r="B7" s="23" t="s">
        <v>44</v>
      </c>
      <c r="C7" s="24">
        <v>2119.8305433219398</v>
      </c>
      <c r="E7" s="4" t="s">
        <v>45</v>
      </c>
      <c r="F7" s="25">
        <f>_xlfn.XLOOKUP("1c",$B$4:$B$33,$C$4:$C$33,"nein")</f>
        <v>2139.5145445726398</v>
      </c>
      <c r="G7" s="25">
        <f>_xlfn.XLOOKUP("2c",$B$4:$B$33,$C$4:$C$33,"nein")</f>
        <v>2126.6516184563102</v>
      </c>
      <c r="H7" s="25">
        <f>_xlfn.XLOOKUP("3c",$B$4:$B$33,$C$4:$C$33,"nein")</f>
        <v>2067.6847368957401</v>
      </c>
      <c r="I7" s="25">
        <f>_xlfn.XLOOKUP("4c",$B$4:$B$33,$C$4:$C$33,"nein")</f>
        <v>2145.19684835416</v>
      </c>
      <c r="J7" s="25">
        <f>_xlfn.XLOOKUP("5c",$B$4:$B$33,$C$4:$C$33,"nein")</f>
        <v>2069.4182759879</v>
      </c>
      <c r="K7" s="25">
        <f>_xlfn.XLOOKUP("6c",$B$4:$B$33,$C$4:$C$33,"nein")</f>
        <v>2118.4659488880602</v>
      </c>
      <c r="L7" s="25">
        <f>_xlfn.XLOOKUP("7c",$B$4:$B$33,$C$4:$C$33,"nein")</f>
        <v>2116.9734635016698</v>
      </c>
      <c r="N7" s="26">
        <f>AVERAGE(F7:L7)</f>
        <v>2111.9864909509261</v>
      </c>
      <c r="O7" s="27">
        <f>_xlfn.STDEV.S(F7:L7)</f>
        <v>31.404190664318467</v>
      </c>
      <c r="P7" s="28">
        <f t="shared" ref="P7" si="0">O7/N7*100</f>
        <v>1.4869503568736686</v>
      </c>
    </row>
    <row r="8" spans="1:20" ht="18" thickBot="1" x14ac:dyDescent="0.5">
      <c r="A8" s="22" t="s">
        <v>46</v>
      </c>
      <c r="B8" s="23" t="s">
        <v>47</v>
      </c>
      <c r="C8" s="24">
        <v>2106.8875875284298</v>
      </c>
    </row>
    <row r="9" spans="1:20" x14ac:dyDescent="0.45">
      <c r="A9" s="22" t="s">
        <v>48</v>
      </c>
      <c r="B9" s="23" t="s">
        <v>49</v>
      </c>
      <c r="C9" s="24">
        <v>2096.5516311443898</v>
      </c>
      <c r="E9" s="4" t="s">
        <v>34</v>
      </c>
      <c r="F9" s="26">
        <f>AVERAGE(F5:F7)</f>
        <v>2110.14536168417</v>
      </c>
      <c r="G9" s="26">
        <f t="shared" ref="G9:L9" si="1">AVERAGE(G5:G7)</f>
        <v>2112.8816018030197</v>
      </c>
      <c r="H9" s="26">
        <f t="shared" si="1"/>
        <v>2082.5945480675637</v>
      </c>
      <c r="I9" s="26">
        <f t="shared" si="1"/>
        <v>2131.8136261581567</v>
      </c>
      <c r="J9" s="26">
        <f t="shared" si="1"/>
        <v>2095.6702624008799</v>
      </c>
      <c r="K9" s="26">
        <f t="shared" si="1"/>
        <v>2103.0887929655705</v>
      </c>
      <c r="L9" s="26">
        <f t="shared" si="1"/>
        <v>2110.2783538274703</v>
      </c>
      <c r="N9" s="95" t="s">
        <v>50</v>
      </c>
      <c r="O9" s="29"/>
      <c r="P9" s="29"/>
      <c r="Q9" s="30"/>
      <c r="S9" s="31" t="s">
        <v>51</v>
      </c>
      <c r="T9" s="31"/>
    </row>
    <row r="10" spans="1:20" ht="18" thickBot="1" x14ac:dyDescent="0.5">
      <c r="A10" s="32" t="s">
        <v>52</v>
      </c>
      <c r="B10" s="33" t="s">
        <v>53</v>
      </c>
      <c r="C10" s="34">
        <v>2145.5503612236998</v>
      </c>
      <c r="E10" s="7" t="s">
        <v>35</v>
      </c>
      <c r="F10" s="27">
        <f>_xlfn.STDEV.S(F5:F7)</f>
        <v>26.510017299062135</v>
      </c>
      <c r="G10" s="27">
        <f>_xlfn.STDEV.S(G5:G7)</f>
        <v>18.264396713374307</v>
      </c>
      <c r="H10" s="27">
        <f t="shared" ref="H10:L10" si="2">_xlfn.STDEV.S(H5:H7)</f>
        <v>14.457010894646535</v>
      </c>
      <c r="I10" s="27">
        <f t="shared" si="2"/>
        <v>23.487237049902756</v>
      </c>
      <c r="J10" s="27">
        <f t="shared" si="2"/>
        <v>22.814865916897848</v>
      </c>
      <c r="K10" s="27">
        <f t="shared" si="2"/>
        <v>18.253339098746434</v>
      </c>
      <c r="L10" s="27">
        <f t="shared" si="2"/>
        <v>8.940342246320478</v>
      </c>
      <c r="N10" s="96"/>
      <c r="Q10" s="35"/>
      <c r="S10" s="31" t="s">
        <v>54</v>
      </c>
      <c r="T10" s="31"/>
    </row>
    <row r="11" spans="1:20" x14ac:dyDescent="0.45">
      <c r="A11" s="19" t="s">
        <v>55</v>
      </c>
      <c r="B11" s="19" t="s">
        <v>56</v>
      </c>
      <c r="C11" s="36">
        <v>518.11556808547698</v>
      </c>
      <c r="E11" s="21" t="s">
        <v>36</v>
      </c>
      <c r="F11" s="28">
        <f>F10/F9*100</f>
        <v>1.2563123745135594</v>
      </c>
      <c r="G11" s="28">
        <f t="shared" ref="G11:L11" si="3">G10/G9*100</f>
        <v>0.86443067599189893</v>
      </c>
      <c r="H11" s="28">
        <f t="shared" si="3"/>
        <v>0.69418269187639881</v>
      </c>
      <c r="I11" s="28">
        <f t="shared" si="3"/>
        <v>1.1017490817070266</v>
      </c>
      <c r="J11" s="28">
        <f t="shared" si="3"/>
        <v>1.0886667777000503</v>
      </c>
      <c r="K11" s="28">
        <f t="shared" si="3"/>
        <v>0.86793002557953614</v>
      </c>
      <c r="L11" s="28">
        <f t="shared" si="3"/>
        <v>0.42365701330846389</v>
      </c>
      <c r="N11" s="37"/>
      <c r="Q11" s="35"/>
      <c r="S11" s="31" t="s">
        <v>57</v>
      </c>
      <c r="T11" s="31" t="s">
        <v>58</v>
      </c>
    </row>
    <row r="12" spans="1:20" x14ac:dyDescent="0.45">
      <c r="A12" s="23" t="s">
        <v>55</v>
      </c>
      <c r="B12" s="23" t="s">
        <v>56</v>
      </c>
      <c r="C12" s="38">
        <v>514.15941646193903</v>
      </c>
      <c r="N12" s="39"/>
      <c r="Q12" s="35"/>
      <c r="S12" s="40">
        <v>1</v>
      </c>
      <c r="T12" s="40">
        <v>12.71</v>
      </c>
    </row>
    <row r="13" spans="1:20" ht="18" thickBot="1" x14ac:dyDescent="0.5">
      <c r="A13" s="33" t="s">
        <v>55</v>
      </c>
      <c r="B13" s="33" t="s">
        <v>56</v>
      </c>
      <c r="C13" s="41">
        <v>513.262392412498</v>
      </c>
      <c r="N13" s="37"/>
      <c r="O13" s="42" t="s">
        <v>34</v>
      </c>
      <c r="P13" s="43">
        <f>AVERAGE(F9:L9)</f>
        <v>2106.6389352724045</v>
      </c>
      <c r="Q13" s="35" t="s">
        <v>24</v>
      </c>
      <c r="S13" s="40">
        <v>2</v>
      </c>
      <c r="T13" s="40">
        <v>4.3029999999999999</v>
      </c>
    </row>
    <row r="14" spans="1:20" ht="19.2" thickBot="1" x14ac:dyDescent="0.5">
      <c r="A14" s="18" t="s">
        <v>59</v>
      </c>
      <c r="B14" s="19" t="s">
        <v>60</v>
      </c>
      <c r="C14" s="20">
        <v>2083.5472761625601</v>
      </c>
      <c r="E14" s="44" t="s">
        <v>61</v>
      </c>
      <c r="H14" s="45" t="s">
        <v>62</v>
      </c>
      <c r="I14" s="46">
        <v>0.05</v>
      </c>
      <c r="N14" s="37"/>
      <c r="O14" s="47" t="s">
        <v>63</v>
      </c>
      <c r="P14" s="48">
        <f>_xlfn.STDEV.S(F9:L9)/SQRT(COUNT(F9:L9))</f>
        <v>5.7926969441072709</v>
      </c>
      <c r="Q14" s="35" t="str">
        <f>Q13</f>
        <v>[µg/g]</v>
      </c>
      <c r="S14" s="40">
        <v>3</v>
      </c>
      <c r="T14" s="40">
        <v>3.1819999999999999</v>
      </c>
    </row>
    <row r="15" spans="1:20" x14ac:dyDescent="0.45">
      <c r="A15" s="22" t="s">
        <v>64</v>
      </c>
      <c r="B15" s="23" t="s">
        <v>65</v>
      </c>
      <c r="C15" s="24">
        <v>2113.7360432416199</v>
      </c>
      <c r="N15" s="37"/>
      <c r="O15" s="42" t="s">
        <v>66</v>
      </c>
      <c r="P15" s="43">
        <f>P14*P16</f>
        <v>11.585393888214542</v>
      </c>
      <c r="Q15" s="35" t="s">
        <v>67</v>
      </c>
      <c r="S15" s="40">
        <v>4</v>
      </c>
      <c r="T15" s="40">
        <v>2.7759999999999998</v>
      </c>
    </row>
    <row r="16" spans="1:20" ht="18" thickBot="1" x14ac:dyDescent="0.5">
      <c r="A16" s="22" t="s">
        <v>68</v>
      </c>
      <c r="B16" s="23" t="s">
        <v>69</v>
      </c>
      <c r="C16" s="24">
        <v>2092.1626436308102</v>
      </c>
      <c r="E16" s="2" t="s">
        <v>70</v>
      </c>
      <c r="N16" s="37"/>
      <c r="O16" s="23" t="s">
        <v>58</v>
      </c>
      <c r="P16" s="49">
        <f>IF(P17&lt;11,_xlfn.XLOOKUP(P17,S12:S21,T12:T21,"nein"),2)</f>
        <v>2</v>
      </c>
      <c r="Q16" s="35" t="s">
        <v>71</v>
      </c>
      <c r="S16" s="40">
        <v>5</v>
      </c>
      <c r="T16" s="40">
        <v>2.5710000000000002</v>
      </c>
    </row>
    <row r="17" spans="1:20" ht="18" thickBot="1" x14ac:dyDescent="0.5">
      <c r="A17" s="22" t="s">
        <v>72</v>
      </c>
      <c r="B17" s="23" t="s">
        <v>73</v>
      </c>
      <c r="C17" s="24">
        <v>2110.7049236863099</v>
      </c>
      <c r="E17" s="50" t="s">
        <v>74</v>
      </c>
      <c r="F17" s="51" t="s">
        <v>75</v>
      </c>
      <c r="G17" s="51" t="s">
        <v>76</v>
      </c>
      <c r="H17" s="51" t="s">
        <v>34</v>
      </c>
      <c r="I17" s="51" t="s">
        <v>77</v>
      </c>
      <c r="N17" s="37"/>
      <c r="O17" s="2" t="s">
        <v>78</v>
      </c>
      <c r="P17" s="52">
        <f>COUNT(F5:L7)-1</f>
        <v>20</v>
      </c>
      <c r="Q17" s="35" t="s">
        <v>71</v>
      </c>
      <c r="S17" s="40">
        <v>6</v>
      </c>
      <c r="T17" s="40">
        <v>2.4470000000000001</v>
      </c>
    </row>
    <row r="18" spans="1:20" x14ac:dyDescent="0.45">
      <c r="A18" s="22" t="s">
        <v>79</v>
      </c>
      <c r="B18" s="23" t="s">
        <v>80</v>
      </c>
      <c r="C18" s="24">
        <v>2082.9165578857001</v>
      </c>
      <c r="E18" s="2" t="str">
        <f>F4</f>
        <v>Zone 1</v>
      </c>
      <c r="F18" s="53">
        <f>COUNT(F5:F7)</f>
        <v>3</v>
      </c>
      <c r="G18" s="54">
        <f>SUM(F5:F7)</f>
        <v>6330.43608505251</v>
      </c>
      <c r="H18" s="54">
        <f>AVERAGE(F5:F7)</f>
        <v>2110.14536168417</v>
      </c>
      <c r="I18" s="54">
        <f>VARA(F5:F7)</f>
        <v>702.78101719657366</v>
      </c>
      <c r="J18" s="12"/>
      <c r="K18" s="12"/>
      <c r="N18" s="37"/>
      <c r="Q18" s="35"/>
      <c r="S18" s="40">
        <v>7</v>
      </c>
      <c r="T18" s="40">
        <v>2.3650000000000002</v>
      </c>
    </row>
    <row r="19" spans="1:20" x14ac:dyDescent="0.45">
      <c r="A19" s="22" t="s">
        <v>81</v>
      </c>
      <c r="B19" s="23" t="s">
        <v>82</v>
      </c>
      <c r="C19" s="24">
        <v>2087.9861906835799</v>
      </c>
      <c r="E19" s="2" t="str">
        <f>G4</f>
        <v>Zone 2</v>
      </c>
      <c r="F19" s="55">
        <f>COUNT(G5:G7)</f>
        <v>3</v>
      </c>
      <c r="G19" s="56">
        <f>SUM(G5:G7)</f>
        <v>6338.6448054090597</v>
      </c>
      <c r="H19" s="56">
        <f>AVERAGE(G5:G7)</f>
        <v>2112.8816018030197</v>
      </c>
      <c r="I19" s="56">
        <f>VARA(G5:G7)</f>
        <v>333.58818730351823</v>
      </c>
      <c r="J19" s="12"/>
      <c r="N19" s="37"/>
      <c r="O19" s="2" t="s">
        <v>83</v>
      </c>
      <c r="P19" s="57">
        <f>P14/P13*100</f>
        <v>0.27497341130069974</v>
      </c>
      <c r="Q19" s="35" t="s">
        <v>84</v>
      </c>
      <c r="S19" s="40">
        <v>8</v>
      </c>
      <c r="T19" s="40">
        <v>2.306</v>
      </c>
    </row>
    <row r="20" spans="1:20" ht="18" thickBot="1" x14ac:dyDescent="0.5">
      <c r="A20" s="32" t="s">
        <v>85</v>
      </c>
      <c r="B20" s="33" t="s">
        <v>86</v>
      </c>
      <c r="C20" s="34">
        <v>2104.6936688966098</v>
      </c>
      <c r="E20" s="2" t="str">
        <f>H4</f>
        <v>Zone 3</v>
      </c>
      <c r="F20" s="55">
        <f>COUNT(H5:H7)</f>
        <v>3</v>
      </c>
      <c r="G20" s="56">
        <f>SUM(H5:H7)</f>
        <v>6247.783644202691</v>
      </c>
      <c r="H20" s="56">
        <f>AVERAGE(H5:H7)</f>
        <v>2082.5945480675637</v>
      </c>
      <c r="I20" s="56">
        <f>VARA(H5:H7)</f>
        <v>209.00516400792861</v>
      </c>
      <c r="J20" s="12"/>
      <c r="N20" s="37"/>
      <c r="O20" s="2" t="s">
        <v>87</v>
      </c>
      <c r="P20" s="57">
        <f>(P13*10^-6)^(-0.1505)*2</f>
        <v>5.0562633382993347</v>
      </c>
      <c r="Q20" s="35" t="s">
        <v>84</v>
      </c>
      <c r="S20" s="40">
        <v>9</v>
      </c>
      <c r="T20" s="40">
        <v>2.262</v>
      </c>
    </row>
    <row r="21" spans="1:20" x14ac:dyDescent="0.45">
      <c r="A21" s="23" t="s">
        <v>55</v>
      </c>
      <c r="B21" s="23" t="s">
        <v>56</v>
      </c>
      <c r="C21" s="38">
        <v>519.08949324587797</v>
      </c>
      <c r="E21" s="2" t="str">
        <f>I4</f>
        <v>Zone 4</v>
      </c>
      <c r="F21" s="55">
        <f>COUNT(I5:I7)</f>
        <v>3</v>
      </c>
      <c r="G21" s="56">
        <f>SUM(I5:I7)</f>
        <v>6395.4408784744701</v>
      </c>
      <c r="H21" s="56">
        <f>AVERAGE(I5:I7)</f>
        <v>2131.8136261581567</v>
      </c>
      <c r="I21" s="56">
        <f>VARA(I5:I7)</f>
        <v>551.65030423832479</v>
      </c>
      <c r="J21" s="12"/>
      <c r="N21" s="39"/>
      <c r="O21" s="2" t="s">
        <v>88</v>
      </c>
      <c r="P21" s="57">
        <f>P19/P20</f>
        <v>5.4382731456622778E-2</v>
      </c>
      <c r="Q21" s="35" t="s">
        <v>71</v>
      </c>
      <c r="S21" s="40">
        <v>10</v>
      </c>
      <c r="T21" s="40">
        <v>2.2280000000000002</v>
      </c>
    </row>
    <row r="22" spans="1:20" ht="18" thickBot="1" x14ac:dyDescent="0.5">
      <c r="A22" s="23" t="s">
        <v>55</v>
      </c>
      <c r="B22" s="23" t="s">
        <v>56</v>
      </c>
      <c r="C22" s="38">
        <v>512.01432356008104</v>
      </c>
      <c r="E22" s="2" t="str">
        <f>J4</f>
        <v>Zone 5</v>
      </c>
      <c r="F22" s="55">
        <f>COUNT(J5:J7)</f>
        <v>3</v>
      </c>
      <c r="G22" s="56">
        <f>SUM(J5:J7)</f>
        <v>6287.0107872026401</v>
      </c>
      <c r="H22" s="56">
        <f>AVERAGE(J5:J7)</f>
        <v>2095.6702624008799</v>
      </c>
      <c r="I22" s="56">
        <f>VARA(J5:J7)</f>
        <v>520.51810680602705</v>
      </c>
      <c r="J22" s="12"/>
      <c r="N22" s="58"/>
      <c r="O22" s="59"/>
      <c r="P22" s="59"/>
      <c r="Q22" s="60"/>
      <c r="S22" s="61" t="s">
        <v>89</v>
      </c>
      <c r="T22" s="40">
        <v>2</v>
      </c>
    </row>
    <row r="23" spans="1:20" ht="18" thickBot="1" x14ac:dyDescent="0.5">
      <c r="A23" s="23" t="s">
        <v>55</v>
      </c>
      <c r="B23" s="23" t="s">
        <v>56</v>
      </c>
      <c r="C23" s="38">
        <v>515.45578985526902</v>
      </c>
      <c r="E23" s="2" t="str">
        <f>K4</f>
        <v>Zone 6</v>
      </c>
      <c r="F23" s="55">
        <f>COUNT(K5:K7)</f>
        <v>3</v>
      </c>
      <c r="G23" s="56">
        <f>SUM(K5:K7)</f>
        <v>6309.2663788967111</v>
      </c>
      <c r="H23" s="56">
        <f>AVERAGE(K5:K7)</f>
        <v>2103.0887929655705</v>
      </c>
      <c r="I23" s="56">
        <f>VARA(K5:K7)</f>
        <v>333.18438825382532</v>
      </c>
      <c r="J23" s="12"/>
      <c r="N23" s="2" t="s">
        <v>90</v>
      </c>
      <c r="R23" s="62" t="s">
        <v>205</v>
      </c>
    </row>
    <row r="24" spans="1:20" ht="18" thickBot="1" x14ac:dyDescent="0.5">
      <c r="A24" s="18" t="s">
        <v>91</v>
      </c>
      <c r="B24" s="19" t="s">
        <v>92</v>
      </c>
      <c r="C24" s="20">
        <v>2069.4182759879</v>
      </c>
      <c r="E24" s="59" t="str">
        <f>L4</f>
        <v>Zone 7</v>
      </c>
      <c r="F24" s="63">
        <f>COUNT(L5:L7)</f>
        <v>3</v>
      </c>
      <c r="G24" s="64">
        <f>SUM(L5:L7)</f>
        <v>6330.8350614824103</v>
      </c>
      <c r="H24" s="64">
        <f>AVERAGE(L5:L7)</f>
        <v>2110.2783538274703</v>
      </c>
      <c r="I24" s="64">
        <f>VARA(L5:L7)</f>
        <v>79.929719481342687</v>
      </c>
      <c r="J24" s="12"/>
      <c r="R24" s="91" t="s">
        <v>206</v>
      </c>
    </row>
    <row r="25" spans="1:20" ht="18" thickBot="1" x14ac:dyDescent="0.5">
      <c r="A25" s="22" t="s">
        <v>93</v>
      </c>
      <c r="B25" s="23" t="s">
        <v>94</v>
      </c>
      <c r="C25" s="24">
        <v>2116.9734635016698</v>
      </c>
      <c r="P25" s="66"/>
      <c r="Q25" s="66"/>
      <c r="R25" s="65" t="s">
        <v>95</v>
      </c>
    </row>
    <row r="26" spans="1:20" x14ac:dyDescent="0.45">
      <c r="A26" s="22" t="s">
        <v>96</v>
      </c>
      <c r="B26" s="23" t="s">
        <v>97</v>
      </c>
      <c r="C26" s="24">
        <v>2126.6516184563102</v>
      </c>
      <c r="N26" s="97" t="s">
        <v>98</v>
      </c>
      <c r="O26" s="98"/>
      <c r="P26" s="29"/>
      <c r="Q26" s="30"/>
    </row>
    <row r="27" spans="1:20" ht="18" thickBot="1" x14ac:dyDescent="0.5">
      <c r="A27" s="22" t="s">
        <v>99</v>
      </c>
      <c r="B27" s="23" t="s">
        <v>100</v>
      </c>
      <c r="C27" s="24">
        <v>2067.6847368957401</v>
      </c>
      <c r="E27" s="2" t="s">
        <v>101</v>
      </c>
      <c r="N27" s="99"/>
      <c r="O27" s="100"/>
      <c r="Q27" s="35"/>
    </row>
    <row r="28" spans="1:20" ht="18" thickBot="1" x14ac:dyDescent="0.5">
      <c r="A28" s="22" t="s">
        <v>102</v>
      </c>
      <c r="B28" s="23" t="s">
        <v>103</v>
      </c>
      <c r="C28" s="24">
        <v>2118.4659488880602</v>
      </c>
      <c r="E28" s="50" t="s">
        <v>104</v>
      </c>
      <c r="F28" s="51" t="s">
        <v>105</v>
      </c>
      <c r="G28" s="51" t="s">
        <v>106</v>
      </c>
      <c r="H28" s="51" t="s">
        <v>107</v>
      </c>
      <c r="I28" s="51" t="s">
        <v>108</v>
      </c>
      <c r="J28" s="51" t="s">
        <v>109</v>
      </c>
      <c r="K28" s="51" t="s">
        <v>110</v>
      </c>
      <c r="N28" s="39"/>
      <c r="O28" s="66"/>
      <c r="P28" s="66"/>
      <c r="Q28" s="67"/>
      <c r="R28" s="66"/>
    </row>
    <row r="29" spans="1:20" x14ac:dyDescent="0.45">
      <c r="A29" s="22" t="s">
        <v>111</v>
      </c>
      <c r="B29" s="23" t="s">
        <v>112</v>
      </c>
      <c r="C29" s="24">
        <v>2139.5145445726398</v>
      </c>
      <c r="E29" s="2" t="s">
        <v>113</v>
      </c>
      <c r="F29" s="54">
        <f>3*((H18-AVERAGE(H18:H24))^2+(H19-AVERAGE(H18:H24))^2+(H20-AVERAGE(H18:H24))^2+(H21-AVERAGE(H18:H24))^2+(H22-AVERAGE(H18:H24))^2+(H23-AVERAGE(H18:H24))^2+(H24-AVERAGE(H18:H24))^2)</f>
        <v>4227.9725736699838</v>
      </c>
      <c r="G29" s="53">
        <f>COUNT(F18:F24)-1</f>
        <v>6</v>
      </c>
      <c r="H29" s="54">
        <f>F29/G29</f>
        <v>704.66209561166397</v>
      </c>
      <c r="I29" s="68">
        <f>H29/H30</f>
        <v>1.8063912358397436</v>
      </c>
      <c r="J29" s="68">
        <f>_xlfn.F.DIST.RT(I29,G29,G30)</f>
        <v>0.16963337971587308</v>
      </c>
      <c r="K29" s="69">
        <f>_xlfn.F.INV((1-I14),G29,G30)</f>
        <v>2.8477259959253578</v>
      </c>
      <c r="N29" s="37"/>
      <c r="Q29" s="35"/>
    </row>
    <row r="30" spans="1:20" ht="18" thickBot="1" x14ac:dyDescent="0.5">
      <c r="A30" s="32" t="s">
        <v>114</v>
      </c>
      <c r="B30" s="33" t="s">
        <v>115</v>
      </c>
      <c r="C30" s="34">
        <v>2145.19684835416</v>
      </c>
      <c r="E30" s="2" t="s">
        <v>116</v>
      </c>
      <c r="F30" s="56">
        <f>((F5-H18)^2+(F6-H18)^2+(F7-H18)^2)+((G5-H19)^2+(G6-H19)^2+(G7-H19)^2)+((H5-H20)^2+(H6-H20)^2+(H7-H20)^2)+((I5-H21)^2+(I6-H21)^2+(I7-H21)^2)+((J5-H22)^2+(J6-H22)^2+(J7-H22)^2)+((K5-H23)^2+(K6-H23)^2+(K7-H23)^2)+((L5-H24)^2+(L6-H24)^2+(L7-H24)^2)</f>
        <v>5461.313774575081</v>
      </c>
      <c r="G30" s="56">
        <f>COUNT(F5:L7)-COUNT(F18:F24)</f>
        <v>14</v>
      </c>
      <c r="H30" s="56">
        <f>F30/G30</f>
        <v>390.09384104107721</v>
      </c>
      <c r="N30" s="37"/>
      <c r="O30" s="70" t="s">
        <v>117</v>
      </c>
      <c r="P30" s="71">
        <v>3</v>
      </c>
      <c r="Q30" s="35"/>
    </row>
    <row r="31" spans="1:20" x14ac:dyDescent="0.45">
      <c r="A31" s="23" t="s">
        <v>55</v>
      </c>
      <c r="C31" s="38">
        <v>511.15863237182901</v>
      </c>
      <c r="F31" s="12"/>
      <c r="N31" s="37"/>
      <c r="O31" s="70" t="s">
        <v>118</v>
      </c>
      <c r="P31" s="71">
        <v>7</v>
      </c>
      <c r="Q31" s="35"/>
    </row>
    <row r="32" spans="1:20" ht="18" thickBot="1" x14ac:dyDescent="0.5">
      <c r="A32" s="23" t="s">
        <v>55</v>
      </c>
      <c r="C32" s="38">
        <v>519.73773997660396</v>
      </c>
      <c r="E32" s="59" t="s">
        <v>119</v>
      </c>
      <c r="F32" s="64">
        <f>F29+F30</f>
        <v>9689.2863482450648</v>
      </c>
      <c r="G32" s="64">
        <f>COUNT(F5:L7)-1</f>
        <v>20</v>
      </c>
      <c r="H32" s="59"/>
      <c r="I32" s="59"/>
      <c r="J32" s="59"/>
      <c r="K32" s="59"/>
      <c r="N32" s="37"/>
      <c r="O32" s="70" t="s">
        <v>120</v>
      </c>
      <c r="P32" s="72">
        <f>(P30-1)*(P31-1)</f>
        <v>12</v>
      </c>
      <c r="Q32" s="35"/>
    </row>
    <row r="33" spans="1:17" x14ac:dyDescent="0.45">
      <c r="A33" s="23" t="s">
        <v>55</v>
      </c>
      <c r="C33" s="38">
        <v>513.61615263840895</v>
      </c>
      <c r="N33" s="37"/>
      <c r="Q33" s="35"/>
    </row>
    <row r="34" spans="1:17" ht="18.600000000000001" x14ac:dyDescent="0.45">
      <c r="N34" s="37"/>
      <c r="O34" s="73" t="s">
        <v>121</v>
      </c>
      <c r="P34" s="74">
        <f>F29</f>
        <v>4227.9725736699838</v>
      </c>
      <c r="Q34" s="35"/>
    </row>
    <row r="35" spans="1:17" ht="18.600000000000001" x14ac:dyDescent="0.45">
      <c r="A35" s="2" t="s">
        <v>122</v>
      </c>
      <c r="E35" s="44" t="s">
        <v>61</v>
      </c>
      <c r="N35" s="37"/>
      <c r="O35" s="73" t="s">
        <v>123</v>
      </c>
      <c r="P35" s="74">
        <f>F46</f>
        <v>1073.0945655771975</v>
      </c>
      <c r="Q35" s="35"/>
    </row>
    <row r="36" spans="1:17" ht="18.600000000000001" x14ac:dyDescent="0.45">
      <c r="A36" s="2" t="s">
        <v>124</v>
      </c>
      <c r="N36" s="37"/>
      <c r="O36" s="73" t="s">
        <v>125</v>
      </c>
      <c r="P36" s="74">
        <f>F49</f>
        <v>9689.2863482451794</v>
      </c>
      <c r="Q36" s="35"/>
    </row>
    <row r="37" spans="1:17" ht="18" thickBot="1" x14ac:dyDescent="0.5">
      <c r="A37" s="2" t="s">
        <v>126</v>
      </c>
      <c r="E37" s="2" t="s">
        <v>70</v>
      </c>
      <c r="N37" s="37"/>
      <c r="Q37" s="35"/>
    </row>
    <row r="38" spans="1:17" ht="19.2" thickBot="1" x14ac:dyDescent="0.5">
      <c r="E38" s="50" t="s">
        <v>74</v>
      </c>
      <c r="F38" s="51" t="s">
        <v>75</v>
      </c>
      <c r="G38" s="51" t="s">
        <v>76</v>
      </c>
      <c r="H38" s="51" t="s">
        <v>34</v>
      </c>
      <c r="I38" s="51" t="s">
        <v>77</v>
      </c>
      <c r="N38" s="37"/>
      <c r="O38" s="17" t="s">
        <v>127</v>
      </c>
      <c r="P38" s="75">
        <f>SQRT((P36-P35-P34)/P32)</f>
        <v>19.122890317187057</v>
      </c>
      <c r="Q38" s="35"/>
    </row>
    <row r="39" spans="1:17" ht="18.600000000000001" x14ac:dyDescent="0.45">
      <c r="E39" s="2" t="str">
        <f>E5</f>
        <v>Result 1 (a)</v>
      </c>
      <c r="F39" s="53">
        <f>COUNT(F5:L5)</f>
        <v>7</v>
      </c>
      <c r="G39" s="54">
        <f>SUM(F5:L5)</f>
        <v>14779.76489987682</v>
      </c>
      <c r="H39" s="54">
        <f>AVERAGE(F5:L5)</f>
        <v>2111.3949856966888</v>
      </c>
      <c r="I39" s="54">
        <f>VARA(F5:L5)</f>
        <v>281.54725910916108</v>
      </c>
      <c r="N39" s="37"/>
      <c r="O39" s="17" t="s">
        <v>128</v>
      </c>
      <c r="P39" s="71">
        <v>4.95</v>
      </c>
      <c r="Q39" s="35"/>
    </row>
    <row r="40" spans="1:17" x14ac:dyDescent="0.45">
      <c r="E40" s="2" t="str">
        <f t="shared" ref="E40:E41" si="4">E6</f>
        <v>Result 2 (b)</v>
      </c>
      <c r="F40" s="55">
        <f>COUNT(F6:L6)</f>
        <v>7</v>
      </c>
      <c r="G40" s="56">
        <f>SUM(F6:L6)</f>
        <v>14675.747304187189</v>
      </c>
      <c r="H40" s="56">
        <f t="shared" ref="H40:H41" si="5">AVERAGE(F6:L6)</f>
        <v>2096.5353291695983</v>
      </c>
      <c r="I40" s="56">
        <f t="shared" ref="I40:I41" si="6">VARA(F6:L6)</f>
        <v>168.26151338796853</v>
      </c>
      <c r="N40" s="37"/>
      <c r="Q40" s="35"/>
    </row>
    <row r="41" spans="1:17" ht="19.2" thickBot="1" x14ac:dyDescent="0.5">
      <c r="E41" s="59" t="str">
        <f t="shared" si="4"/>
        <v>Result 3 (c)</v>
      </c>
      <c r="F41" s="63">
        <f>COUNT(F7:L7)</f>
        <v>7</v>
      </c>
      <c r="G41" s="64">
        <f t="shared" ref="G41" si="7">SUM(F7:L7)</f>
        <v>14783.905436656481</v>
      </c>
      <c r="H41" s="64">
        <f t="shared" si="5"/>
        <v>2111.9864909509261</v>
      </c>
      <c r="I41" s="64">
        <f t="shared" si="6"/>
        <v>986.22319128086713</v>
      </c>
      <c r="N41" s="37"/>
      <c r="O41" s="17" t="s">
        <v>129</v>
      </c>
      <c r="P41" s="94">
        <f>(P39*P38)/SQRT(P30)</f>
        <v>54.6509990679426</v>
      </c>
      <c r="Q41" s="35"/>
    </row>
    <row r="42" spans="1:17" x14ac:dyDescent="0.45">
      <c r="N42" s="37"/>
      <c r="Q42" s="35"/>
    </row>
    <row r="43" spans="1:17" ht="18" thickBot="1" x14ac:dyDescent="0.5">
      <c r="N43" s="58"/>
      <c r="O43" s="59" t="s">
        <v>130</v>
      </c>
      <c r="P43" s="93">
        <f>MAX(H18:H24)-MIN(H18:H24)</f>
        <v>49.21907809059303</v>
      </c>
      <c r="Q43" s="60"/>
    </row>
    <row r="44" spans="1:17" ht="18" thickBot="1" x14ac:dyDescent="0.5">
      <c r="E44" s="2" t="s">
        <v>101</v>
      </c>
      <c r="N44" s="2" t="s">
        <v>131</v>
      </c>
    </row>
    <row r="45" spans="1:17" ht="18" thickBot="1" x14ac:dyDescent="0.5">
      <c r="E45" s="50" t="s">
        <v>104</v>
      </c>
      <c r="F45" s="51" t="s">
        <v>105</v>
      </c>
      <c r="G45" s="51" t="s">
        <v>106</v>
      </c>
      <c r="H45" s="51" t="s">
        <v>107</v>
      </c>
      <c r="I45" s="51" t="s">
        <v>108</v>
      </c>
      <c r="J45" s="51" t="s">
        <v>109</v>
      </c>
      <c r="K45" s="51" t="s">
        <v>110</v>
      </c>
    </row>
    <row r="46" spans="1:17" x14ac:dyDescent="0.45">
      <c r="E46" s="2" t="s">
        <v>113</v>
      </c>
      <c r="F46" s="54">
        <f>7*((H39-AVERAGE(H39:H41))^2+(H40-AVERAGE(H39:H41))^2+(H41-AVERAGE(H39:H41))^2)</f>
        <v>1073.0945655771975</v>
      </c>
      <c r="G46" s="53">
        <f>COUNT(F39:F41)-1</f>
        <v>2</v>
      </c>
      <c r="H46" s="54">
        <f>F46/G46</f>
        <v>536.54728278859875</v>
      </c>
      <c r="I46" s="76">
        <f>H46/H47</f>
        <v>1.1208955573182759</v>
      </c>
      <c r="J46" s="77">
        <f>_xlfn.F.DIST.RT(I46,G46,G47)</f>
        <v>0.34770592911549536</v>
      </c>
      <c r="K46" s="69">
        <f>_xlfn.F.INV((1-I14),G46,G47)</f>
        <v>3.5545571456617857</v>
      </c>
      <c r="N46" s="8" t="s">
        <v>132</v>
      </c>
    </row>
    <row r="47" spans="1:17" x14ac:dyDescent="0.45">
      <c r="E47" s="2" t="s">
        <v>116</v>
      </c>
      <c r="F47" s="56">
        <f>((F5-H39)^2+(G5-H39)^2+(H5-H39)^2+(I5-H39)^2+(J5-H39)^2+(K5-H39)^2+(L5-H39)^2)+((F6-H40)^2+(G6-H40)^2+(H6-H40)^2+(I6-H40)^2+(J6-H40)^2+(K6-H40)^2+(L6-H40)^2)+((F7-H41)^2+(G7-H41)^2+(H7-H41)^2+(I7-H41)^2+(J7-H41)^2+(K7-H41)^2+(L7-H41)^2)</f>
        <v>8616.1917826679819</v>
      </c>
      <c r="G47" s="56">
        <f>COUNT(F5:L7)-COUNT(F39:F41)</f>
        <v>18</v>
      </c>
      <c r="H47" s="56">
        <f>F47/G47</f>
        <v>478.6773212593323</v>
      </c>
      <c r="N47" s="2" t="s">
        <v>133</v>
      </c>
    </row>
    <row r="48" spans="1:17" x14ac:dyDescent="0.45">
      <c r="N48" s="90" t="s">
        <v>134</v>
      </c>
    </row>
    <row r="49" spans="5:11" ht="18" thickBot="1" x14ac:dyDescent="0.5">
      <c r="E49" s="59" t="s">
        <v>119</v>
      </c>
      <c r="F49" s="64">
        <f>F46+F47</f>
        <v>9689.2863482451794</v>
      </c>
      <c r="G49" s="64">
        <f>COUNT(F5:L7)-1</f>
        <v>20</v>
      </c>
      <c r="H49" s="59"/>
      <c r="I49" s="59"/>
      <c r="J49" s="59"/>
      <c r="K49" s="59"/>
    </row>
    <row r="51" spans="5:11" x14ac:dyDescent="0.45">
      <c r="E51" s="8" t="s">
        <v>135</v>
      </c>
    </row>
    <row r="52" spans="5:11" x14ac:dyDescent="0.45">
      <c r="E52" s="8" t="s">
        <v>136</v>
      </c>
    </row>
    <row r="79" spans="5:5" x14ac:dyDescent="0.45">
      <c r="E79" s="4" t="s">
        <v>137</v>
      </c>
    </row>
    <row r="84" spans="1:1" ht="18.600000000000001" x14ac:dyDescent="0.45">
      <c r="A84" s="13" t="s">
        <v>202</v>
      </c>
    </row>
  </sheetData>
  <mergeCells count="2">
    <mergeCell ref="N9:N10"/>
    <mergeCell ref="N26:O27"/>
  </mergeCells>
  <conditionalFormatting sqref="P43">
    <cfRule type="cellIs" dxfId="19" priority="8" operator="greaterThan">
      <formula>$P$41</formula>
    </cfRule>
    <cfRule type="cellIs" dxfId="18" priority="9" operator="lessThanOrEqual">
      <formula>$P$41</formula>
    </cfRule>
  </conditionalFormatting>
  <conditionalFormatting sqref="P21">
    <cfRule type="cellIs" dxfId="17" priority="5" operator="between">
      <formula>1</formula>
      <formula>2</formula>
    </cfRule>
    <cfRule type="cellIs" dxfId="16" priority="6" operator="lessThanOrEqual">
      <formula>1</formula>
    </cfRule>
    <cfRule type="cellIs" dxfId="15" priority="7" operator="greaterThan">
      <formula>2</formula>
    </cfRule>
  </conditionalFormatting>
  <conditionalFormatting sqref="I29">
    <cfRule type="cellIs" dxfId="14" priority="3" operator="lessThan">
      <formula>$K$29</formula>
    </cfRule>
    <cfRule type="cellIs" dxfId="13" priority="4" operator="greaterThan">
      <formula>$K$29</formula>
    </cfRule>
  </conditionalFormatting>
  <conditionalFormatting sqref="I46">
    <cfRule type="cellIs" dxfId="12" priority="1" operator="lessThan">
      <formula>$K$46</formula>
    </cfRule>
    <cfRule type="cellIs" dxfId="11" priority="2" operator="greaterThan">
      <formula>$K$46</formula>
    </cfRule>
  </conditionalFormatting>
  <conditionalFormatting sqref="J29 J46">
    <cfRule type="cellIs" dxfId="10" priority="10" operator="lessThan">
      <formula>$I$14</formula>
    </cfRule>
    <cfRule type="cellIs" dxfId="9" priority="11" operator="greaterThan">
      <formula>$I$14</formula>
    </cfRule>
  </conditionalFormatting>
  <dataValidations count="1">
    <dataValidation allowBlank="1" showInputMessage="1" showErrorMessage="1" promptTitle="Auswertung" prompt="Grün bedeutet, die Unterschiede sind nicht signifikant." sqref="I29:J29 I46:J46" xr:uid="{F943B273-F6D3-4A05-8D64-96245A0140F0}"/>
  </dataValidations>
  <hyperlinks>
    <hyperlink ref="N48" r:id="rId1" xr:uid="{006F3B18-EDF9-415B-B24D-15807BDC35C7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266A-1FDC-497A-B035-0303F55B02C8}">
  <dimension ref="A2:I74"/>
  <sheetViews>
    <sheetView showGridLines="0" zoomScale="70" zoomScaleNormal="70" workbookViewId="0"/>
  </sheetViews>
  <sheetFormatPr baseColWidth="10" defaultRowHeight="17.399999999999999" x14ac:dyDescent="0.45"/>
  <cols>
    <col min="1" max="1" width="11.5546875" style="2"/>
    <col min="2" max="2" width="44.6640625" style="2" customWidth="1"/>
    <col min="3" max="3" width="49.33203125" style="2" customWidth="1"/>
    <col min="4" max="4" width="24.88671875" style="2" customWidth="1"/>
    <col min="5" max="5" width="31.88671875" style="2" customWidth="1"/>
    <col min="6" max="6" width="18.44140625" style="2" customWidth="1"/>
    <col min="7" max="7" width="16.77734375" style="2" customWidth="1"/>
    <col min="8" max="8" width="22.5546875" style="2" customWidth="1"/>
    <col min="9" max="16384" width="11.5546875" style="2"/>
  </cols>
  <sheetData>
    <row r="2" spans="2:9" ht="22.2" x14ac:dyDescent="0.55000000000000004">
      <c r="B2" s="3" t="s">
        <v>1</v>
      </c>
      <c r="C2" s="14" t="s">
        <v>22</v>
      </c>
    </row>
    <row r="3" spans="2:9" x14ac:dyDescent="0.45">
      <c r="B3" s="8" t="s">
        <v>24</v>
      </c>
    </row>
    <row r="4" spans="2:9" ht="18.600000000000001" x14ac:dyDescent="0.45">
      <c r="B4" s="78" t="s">
        <v>138</v>
      </c>
      <c r="C4" s="79" t="s">
        <v>139</v>
      </c>
      <c r="D4" s="79" t="s">
        <v>140</v>
      </c>
      <c r="E4" s="79" t="s">
        <v>141</v>
      </c>
      <c r="F4" s="79" t="s">
        <v>142</v>
      </c>
      <c r="G4" s="79" t="s">
        <v>143</v>
      </c>
      <c r="H4" s="79" t="s">
        <v>144</v>
      </c>
      <c r="I4" s="79" t="s">
        <v>145</v>
      </c>
    </row>
    <row r="5" spans="2:9" x14ac:dyDescent="0.45">
      <c r="B5" s="23" t="s">
        <v>146</v>
      </c>
      <c r="C5" s="80">
        <v>2110.14536168417</v>
      </c>
      <c r="D5" s="80">
        <v>2112.8816018030197</v>
      </c>
      <c r="E5" s="80">
        <v>2082.5945480675637</v>
      </c>
      <c r="F5" s="80">
        <v>2131.8136261581567</v>
      </c>
      <c r="G5" s="80">
        <v>2095.6702624008799</v>
      </c>
      <c r="H5" s="80">
        <v>2103.0887929655705</v>
      </c>
      <c r="I5" s="80">
        <v>2110.2783538274703</v>
      </c>
    </row>
    <row r="6" spans="2:9" x14ac:dyDescent="0.45">
      <c r="B6" s="23" t="s">
        <v>147</v>
      </c>
      <c r="C6" s="80">
        <v>2117.5962761261635</v>
      </c>
      <c r="D6" s="80">
        <v>2118.2785317109165</v>
      </c>
      <c r="E6" s="80">
        <v>2113.3518634947268</v>
      </c>
      <c r="F6" s="80">
        <v>2090.8318465612269</v>
      </c>
      <c r="G6" s="80">
        <v>2121.3176302248135</v>
      </c>
      <c r="H6" s="80">
        <v>2144.6613667063734</v>
      </c>
      <c r="I6" s="80">
        <v>2113.9106229788363</v>
      </c>
    </row>
    <row r="7" spans="2:9" x14ac:dyDescent="0.45">
      <c r="B7" s="23" t="s">
        <v>148</v>
      </c>
      <c r="C7" s="80">
        <v>2119.4830801593566</v>
      </c>
      <c r="D7" s="80">
        <v>2092.2766994702997</v>
      </c>
      <c r="E7" s="80">
        <v>2136.2221942820665</v>
      </c>
      <c r="F7" s="80">
        <v>2125.4586847728801</v>
      </c>
      <c r="G7" s="80">
        <v>2143.2787544870102</v>
      </c>
      <c r="H7" s="80">
        <v>2122.0027665787097</v>
      </c>
      <c r="I7" s="80">
        <v>2105.2400069010368</v>
      </c>
    </row>
    <row r="8" spans="2:9" x14ac:dyDescent="0.45">
      <c r="B8" s="23" t="s">
        <v>149</v>
      </c>
      <c r="C8" s="80">
        <v>2110.0948033536101</v>
      </c>
      <c r="D8" s="80">
        <v>2099.5522337759699</v>
      </c>
      <c r="E8" s="80">
        <v>2112.8243433081734</v>
      </c>
      <c r="F8" s="80">
        <v>2114.5156087610067</v>
      </c>
      <c r="G8" s="80">
        <v>2133.9580683758636</v>
      </c>
      <c r="H8" s="80">
        <v>2121.6125015391367</v>
      </c>
      <c r="I8" s="80">
        <v>2108.0255028441497</v>
      </c>
    </row>
    <row r="9" spans="2:9" x14ac:dyDescent="0.45">
      <c r="B9" s="23" t="s">
        <v>150</v>
      </c>
      <c r="C9" s="80">
        <v>2125.2174981787898</v>
      </c>
      <c r="D9" s="80">
        <v>2129.4602314211402</v>
      </c>
      <c r="E9" s="80">
        <v>2118.777518371337</v>
      </c>
      <c r="F9" s="80">
        <v>2134.3097229212567</v>
      </c>
      <c r="G9" s="80">
        <v>2117.44997198278</v>
      </c>
      <c r="H9" s="80">
        <v>2111.2211838178432</v>
      </c>
      <c r="I9" s="80">
        <v>2120.3535688220331</v>
      </c>
    </row>
    <row r="10" spans="2:9" x14ac:dyDescent="0.45">
      <c r="B10" s="23" t="s">
        <v>151</v>
      </c>
      <c r="C10" s="80">
        <v>2122.2103571549669</v>
      </c>
      <c r="D10" s="80">
        <v>2102.6983451100568</v>
      </c>
      <c r="E10" s="80">
        <v>2130.5628556733736</v>
      </c>
      <c r="F10" s="80">
        <v>2117.499493414613</v>
      </c>
      <c r="G10" s="80">
        <v>2102.7852689541733</v>
      </c>
      <c r="H10" s="80">
        <v>2132.7906788292498</v>
      </c>
      <c r="I10" s="80">
        <v>2104.3664188825569</v>
      </c>
    </row>
    <row r="11" spans="2:9" x14ac:dyDescent="0.45">
      <c r="B11" s="23" t="s">
        <v>152</v>
      </c>
      <c r="C11" s="80">
        <v>2145.2730737623065</v>
      </c>
      <c r="D11" s="80">
        <v>2148.1711117098002</v>
      </c>
      <c r="E11" s="80">
        <v>2149.7939487047865</v>
      </c>
      <c r="F11" s="80">
        <v>2149.2809033485833</v>
      </c>
      <c r="G11" s="80">
        <v>2144.0664716636065</v>
      </c>
      <c r="H11" s="80">
        <v>2141.6083597120432</v>
      </c>
      <c r="I11" s="80">
        <v>2137.4634160012301</v>
      </c>
    </row>
    <row r="12" spans="2:9" x14ac:dyDescent="0.45">
      <c r="B12" s="23" t="s">
        <v>153</v>
      </c>
      <c r="C12" s="80">
        <v>2135.2950859001867</v>
      </c>
      <c r="D12" s="80">
        <v>2130.8945642873032</v>
      </c>
      <c r="E12" s="80">
        <v>2152.7299895489637</v>
      </c>
      <c r="F12" s="80">
        <v>2127.5174582711697</v>
      </c>
      <c r="G12" s="80">
        <v>2142.6848305335502</v>
      </c>
      <c r="H12" s="80">
        <v>2123.0844063554932</v>
      </c>
      <c r="I12" s="80">
        <v>2134.1897482870404</v>
      </c>
    </row>
    <row r="13" spans="2:9" x14ac:dyDescent="0.45">
      <c r="B13" s="23" t="s">
        <v>154</v>
      </c>
      <c r="C13" s="80">
        <v>2129.9694096218968</v>
      </c>
      <c r="D13" s="80">
        <v>2157.4316518818669</v>
      </c>
      <c r="E13" s="80">
        <v>2138.1069193097264</v>
      </c>
      <c r="F13" s="80">
        <v>2123.8534782252</v>
      </c>
      <c r="G13" s="80">
        <v>2138.8222229204835</v>
      </c>
      <c r="H13" s="80">
        <v>2147.1516591280601</v>
      </c>
      <c r="I13" s="80">
        <v>2139.1092341893932</v>
      </c>
    </row>
    <row r="14" spans="2:9" x14ac:dyDescent="0.45">
      <c r="B14" s="23" t="s">
        <v>155</v>
      </c>
      <c r="C14" s="80">
        <v>2110.14536168417</v>
      </c>
      <c r="D14" s="80">
        <v>2127.4856487238899</v>
      </c>
      <c r="E14" s="80">
        <v>2129.0097860001833</v>
      </c>
      <c r="F14" s="80">
        <v>2148.3628317011303</v>
      </c>
      <c r="G14" s="80">
        <v>2137.4262673927333</v>
      </c>
      <c r="H14" s="80">
        <v>2158.7476935446634</v>
      </c>
      <c r="I14" s="80">
        <v>2140.810723572577</v>
      </c>
    </row>
    <row r="15" spans="2:9" x14ac:dyDescent="0.45">
      <c r="C15" s="23"/>
      <c r="D15" s="23"/>
      <c r="E15" s="23"/>
      <c r="F15" s="23"/>
      <c r="G15" s="23"/>
      <c r="H15" s="23"/>
      <c r="I15" s="23"/>
    </row>
    <row r="16" spans="2:9" ht="18.600000000000001" x14ac:dyDescent="0.45">
      <c r="B16" s="78" t="s">
        <v>156</v>
      </c>
      <c r="C16" s="79" t="s">
        <v>139</v>
      </c>
      <c r="D16" s="79" t="s">
        <v>140</v>
      </c>
      <c r="E16" s="79" t="s">
        <v>141</v>
      </c>
      <c r="F16" s="79" t="s">
        <v>142</v>
      </c>
      <c r="G16" s="79" t="s">
        <v>143</v>
      </c>
      <c r="H16" s="79" t="s">
        <v>144</v>
      </c>
      <c r="I16" s="79" t="s">
        <v>145</v>
      </c>
    </row>
    <row r="17" spans="2:9" x14ac:dyDescent="0.45">
      <c r="B17" s="23" t="s">
        <v>157</v>
      </c>
      <c r="C17" s="80">
        <v>2161.0601490312365</v>
      </c>
      <c r="D17" s="80">
        <v>2156.4380691111232</v>
      </c>
      <c r="E17" s="80">
        <v>2127.0192869014136</v>
      </c>
      <c r="F17" s="80">
        <v>2138.4634571584197</v>
      </c>
      <c r="G17" s="80">
        <v>2170.3529713454632</v>
      </c>
      <c r="H17" s="80">
        <v>2158.6220035005667</v>
      </c>
      <c r="I17" s="80">
        <v>2145.40830802345</v>
      </c>
    </row>
    <row r="18" spans="2:9" x14ac:dyDescent="0.45">
      <c r="B18" s="23" t="s">
        <v>158</v>
      </c>
      <c r="C18" s="80">
        <v>2164.1633378020529</v>
      </c>
      <c r="D18" s="80">
        <v>2145.56319709633</v>
      </c>
      <c r="E18" s="80">
        <v>2117.2950430917099</v>
      </c>
      <c r="F18" s="80">
        <v>2143.767226674227</v>
      </c>
      <c r="G18" s="80">
        <v>2151.5478417398535</v>
      </c>
      <c r="H18" s="80">
        <v>2122.2280264663568</v>
      </c>
      <c r="I18" s="80">
        <v>2103.7545540707501</v>
      </c>
    </row>
    <row r="19" spans="2:9" ht="18" thickBot="1" x14ac:dyDescent="0.5"/>
    <row r="20" spans="2:9" ht="19.2" thickBot="1" x14ac:dyDescent="0.5">
      <c r="B20" s="17" t="s">
        <v>61</v>
      </c>
      <c r="E20" s="45" t="s">
        <v>62</v>
      </c>
      <c r="F20" s="46">
        <v>0.05</v>
      </c>
    </row>
    <row r="22" spans="2:9" ht="18" thickBot="1" x14ac:dyDescent="0.5">
      <c r="B22" s="2" t="s">
        <v>70</v>
      </c>
    </row>
    <row r="23" spans="2:9" ht="18" thickBot="1" x14ac:dyDescent="0.5">
      <c r="B23" s="50" t="s">
        <v>74</v>
      </c>
      <c r="C23" s="51" t="s">
        <v>75</v>
      </c>
      <c r="D23" s="51" t="s">
        <v>76</v>
      </c>
      <c r="E23" s="51" t="s">
        <v>34</v>
      </c>
      <c r="F23" s="51" t="s">
        <v>77</v>
      </c>
    </row>
    <row r="24" spans="2:9" x14ac:dyDescent="0.45">
      <c r="B24" s="2" t="str">
        <f>B5</f>
        <v>Apatite-NP-2020-07-B01-80</v>
      </c>
      <c r="C24" s="53">
        <f>COUNT(C5:I5)</f>
        <v>7</v>
      </c>
      <c r="D24" s="54">
        <f>SUM(C5:I5)</f>
        <v>14746.472546906831</v>
      </c>
      <c r="E24" s="54">
        <f>AVERAGE(C5:I5)</f>
        <v>2106.6389352724045</v>
      </c>
      <c r="F24" s="54">
        <f>VARA(C5:I5)</f>
        <v>234.88736520388798</v>
      </c>
    </row>
    <row r="25" spans="2:9" x14ac:dyDescent="0.45">
      <c r="B25" s="2" t="str">
        <f t="shared" ref="B25:B33" si="0">B6</f>
        <v>Apatite-NP-2020-07-B01-22</v>
      </c>
      <c r="C25" s="55">
        <f>COUNT(C6:I6)</f>
        <v>7</v>
      </c>
      <c r="D25" s="56">
        <f>SUM(C6:I6)</f>
        <v>14819.948137803058</v>
      </c>
      <c r="E25" s="56">
        <f t="shared" ref="E25:E33" si="1">AVERAGE(C6:I6)</f>
        <v>2117.1354482575798</v>
      </c>
      <c r="F25" s="56">
        <f t="shared" ref="F25:F33" si="2">VARA(C6:I6)</f>
        <v>248.88005141649015</v>
      </c>
    </row>
    <row r="26" spans="2:9" x14ac:dyDescent="0.45">
      <c r="B26" s="2" t="str">
        <f t="shared" si="0"/>
        <v>Apatite-NP-2020-07-B01-97</v>
      </c>
      <c r="C26" s="55">
        <f>COUNT(C7:I7)</f>
        <v>7</v>
      </c>
      <c r="D26" s="56">
        <f t="shared" ref="D26:D33" si="3">SUM(C7:I7)</f>
        <v>14843.962186651359</v>
      </c>
      <c r="E26" s="56">
        <f t="shared" si="1"/>
        <v>2120.56602666448</v>
      </c>
      <c r="F26" s="56">
        <f t="shared" si="2"/>
        <v>303.88860042982265</v>
      </c>
    </row>
    <row r="27" spans="2:9" x14ac:dyDescent="0.45">
      <c r="B27" s="2" t="str">
        <f t="shared" si="0"/>
        <v>Apatite-NP-2020-07-B01-37</v>
      </c>
      <c r="C27" s="55">
        <f t="shared" ref="C27:C33" si="4">COUNT(C8:I8)</f>
        <v>7</v>
      </c>
      <c r="D27" s="56">
        <f t="shared" si="3"/>
        <v>14800.58306195791</v>
      </c>
      <c r="E27" s="56">
        <f t="shared" si="1"/>
        <v>2114.3690088511298</v>
      </c>
      <c r="F27" s="56">
        <f t="shared" si="2"/>
        <v>119.44210788024111</v>
      </c>
    </row>
    <row r="28" spans="2:9" x14ac:dyDescent="0.45">
      <c r="B28" s="2" t="str">
        <f t="shared" si="0"/>
        <v>Apatite-NP-2020-07-B01-117</v>
      </c>
      <c r="C28" s="55">
        <f t="shared" si="4"/>
        <v>7</v>
      </c>
      <c r="D28" s="56">
        <f t="shared" si="3"/>
        <v>14856.789695515179</v>
      </c>
      <c r="E28" s="56">
        <f t="shared" si="1"/>
        <v>2122.3985279307399</v>
      </c>
      <c r="F28" s="56">
        <f t="shared" si="2"/>
        <v>61.067601820266738</v>
      </c>
    </row>
    <row r="29" spans="2:9" x14ac:dyDescent="0.45">
      <c r="B29" s="2" t="str">
        <f t="shared" si="0"/>
        <v>Apatite-NP-2020-07-B01-68</v>
      </c>
      <c r="C29" s="55">
        <f t="shared" si="4"/>
        <v>7</v>
      </c>
      <c r="D29" s="56">
        <f t="shared" si="3"/>
        <v>14812.91341801899</v>
      </c>
      <c r="E29" s="56">
        <f t="shared" si="1"/>
        <v>2116.1304882884274</v>
      </c>
      <c r="F29" s="56">
        <f t="shared" si="2"/>
        <v>170.26747268169058</v>
      </c>
    </row>
    <row r="30" spans="2:9" x14ac:dyDescent="0.45">
      <c r="B30" s="2" t="str">
        <f t="shared" si="0"/>
        <v>Apatite-NP-2020-07-B01-49</v>
      </c>
      <c r="C30" s="55">
        <f t="shared" si="4"/>
        <v>7</v>
      </c>
      <c r="D30" s="56">
        <f t="shared" si="3"/>
        <v>15015.657284902354</v>
      </c>
      <c r="E30" s="56">
        <f t="shared" si="1"/>
        <v>2145.0938978431936</v>
      </c>
      <c r="F30" s="56">
        <f t="shared" si="2"/>
        <v>20.091946025548001</v>
      </c>
    </row>
    <row r="31" spans="2:9" x14ac:dyDescent="0.45">
      <c r="B31" s="2" t="str">
        <f t="shared" si="0"/>
        <v>Apatite-NP-2020-07-B01-11</v>
      </c>
      <c r="C31" s="55">
        <f t="shared" si="4"/>
        <v>7</v>
      </c>
      <c r="D31" s="56">
        <f t="shared" si="3"/>
        <v>14946.396083183707</v>
      </c>
      <c r="E31" s="56">
        <f t="shared" si="1"/>
        <v>2135.1994404548154</v>
      </c>
      <c r="F31" s="56">
        <f t="shared" si="2"/>
        <v>98.116450468875541</v>
      </c>
    </row>
    <row r="32" spans="2:9" x14ac:dyDescent="0.45">
      <c r="B32" s="2" t="str">
        <f t="shared" si="0"/>
        <v>Apatite-NP-2020-07-B01-89</v>
      </c>
      <c r="C32" s="55">
        <f t="shared" si="4"/>
        <v>7</v>
      </c>
      <c r="D32" s="56">
        <f t="shared" si="3"/>
        <v>14974.444575276626</v>
      </c>
      <c r="E32" s="56">
        <f t="shared" si="1"/>
        <v>2139.206367896661</v>
      </c>
      <c r="F32" s="56">
        <f t="shared" si="2"/>
        <v>119.61450634034342</v>
      </c>
    </row>
    <row r="33" spans="2:8" ht="18" thickBot="1" x14ac:dyDescent="0.5">
      <c r="B33" s="59" t="str">
        <f t="shared" si="0"/>
        <v>Apatite-NP-2020-07-B01-10</v>
      </c>
      <c r="C33" s="63">
        <f t="shared" si="4"/>
        <v>7</v>
      </c>
      <c r="D33" s="64">
        <f t="shared" si="3"/>
        <v>14951.988312619347</v>
      </c>
      <c r="E33" s="64">
        <f t="shared" si="1"/>
        <v>2135.9983303741924</v>
      </c>
      <c r="F33" s="64">
        <f t="shared" si="2"/>
        <v>247.54900693079682</v>
      </c>
    </row>
    <row r="36" spans="2:8" ht="18" thickBot="1" x14ac:dyDescent="0.5">
      <c r="B36" s="2" t="s">
        <v>101</v>
      </c>
    </row>
    <row r="37" spans="2:8" ht="18" thickBot="1" x14ac:dyDescent="0.5">
      <c r="B37" s="50" t="s">
        <v>104</v>
      </c>
      <c r="C37" s="50" t="s">
        <v>105</v>
      </c>
      <c r="D37" s="50" t="s">
        <v>106</v>
      </c>
      <c r="E37" s="50" t="s">
        <v>159</v>
      </c>
      <c r="F37" s="50" t="s">
        <v>108</v>
      </c>
      <c r="G37" s="50" t="s">
        <v>160</v>
      </c>
      <c r="H37" s="50" t="s">
        <v>110</v>
      </c>
    </row>
    <row r="38" spans="2:8" x14ac:dyDescent="0.45">
      <c r="B38" s="2" t="s">
        <v>113</v>
      </c>
      <c r="C38" s="54">
        <f>7*((E24-AVERAGE(E24:E33))^2+(E25-AVERAGE(E24:E33))^2+(E26-AVERAGE(E24:E33))^2+(E27-AVERAGE(E24:E33))^2+(E28-AVERAGE(E24:E33))^2+(E29-AVERAGE(E24:E33))^2+(E30-AVERAGE(E24:E33))^2+(E31-AVERAGE(E24:E33))^2+(E32-AVERAGE(E24:E33))^2+(E33-AVERAGE(E24:E33))^2)</f>
        <v>10128.457552262344</v>
      </c>
      <c r="D38" s="53">
        <f>COUNT(C24:C33)-1</f>
        <v>9</v>
      </c>
      <c r="E38" s="54">
        <f>C38/D38</f>
        <v>1125.3841724735937</v>
      </c>
      <c r="F38" s="69">
        <f>E38/E39</f>
        <v>6.9305372060902579</v>
      </c>
      <c r="G38" s="81">
        <f>_xlfn.F.DIST.RT(F38,D38,D39)</f>
        <v>8.933294573571325E-7</v>
      </c>
      <c r="H38" s="69">
        <f>_xlfn.F.INV((1-F20),D38,D39)</f>
        <v>2.0400980554764687</v>
      </c>
    </row>
    <row r="39" spans="2:8" x14ac:dyDescent="0.45">
      <c r="B39" s="2" t="s">
        <v>116</v>
      </c>
      <c r="C39" s="56">
        <f>((C5-E24)^2+(D5-E24)^2+(E5-E24)^2+(F5-E24)^2+(G5-E24)^2+(H5-E24)^2+(I5-E24)^2)+((C6-E25)^2+(D6-E25)^2+(E6-E25)^2+(F6-E25)^2+(G6-E25)^2+(H6-E25)^2+(I6-E25)^2)+((C7-E26)^2+(D7-E26)^2+(E7-E26)^2+(F7-E26)^2+(G7-E26)^2+(H7-E26)^2+(I7-E26)^2)+((C8-E27)^2+(D8-E27)^2+(E8-E27)^2+(F8-E27)^2+(G8-E27)^2+(H8-E27)^2+(I8-E27)^2)+((C9-E28)^2+(D9-E28)^2+(E9-E28)^2+(F9-E28)^2+(G9-E28)^2+(H9-E28)^2+(I9-E28)^2)+((C10-E29)^2+(D10-E29)^2+(E10-E29)^2+(F10-E29)^2+(G10-E29)^2+(H10-E29)^2+(I10-E29)^2)+((C11-E30)^2+(D11-E30)^2+(E11-E30)^2+(F11-E30)^2+(G11-E30)^2+(H11-E30)^2+(I11-E30)^2)+((C12-E31)^2+(D12-E31)^2+(E12-E31)^2+(F12-E31)^2+(G12-E31)^2+(H12-E31)^2+(I12-E31)^2)+((C13-E32)^2+(D13-E32)^2+(E13-E32)^2+(F13-E32)^2+(G13-E32)^2+(H13-E32)^2+(I13-E32)^2)+((C14-E33)^2+(D14-E33)^2+(E14-E33)^2+(F14-E33)^2+(G14-E33)^2+(H14-E33)^2+(I14-E33)^2)</f>
        <v>9742.8306551877777</v>
      </c>
      <c r="D39" s="56">
        <f>COUNT(C5:I14)-COUNT(C24:C33)</f>
        <v>60</v>
      </c>
      <c r="E39" s="56">
        <f>C39/D39</f>
        <v>162.38051091979631</v>
      </c>
    </row>
    <row r="40" spans="2:8" x14ac:dyDescent="0.45">
      <c r="C40" s="12"/>
    </row>
    <row r="41" spans="2:8" ht="18" thickBot="1" x14ac:dyDescent="0.5">
      <c r="B41" s="59" t="s">
        <v>119</v>
      </c>
      <c r="C41" s="64">
        <f>C38+C39</f>
        <v>19871.288207450121</v>
      </c>
      <c r="D41" s="64">
        <f>COUNT(C5:I14)-1</f>
        <v>69</v>
      </c>
      <c r="E41" s="59"/>
      <c r="F41" s="59"/>
      <c r="G41" s="59"/>
      <c r="H41" s="59"/>
    </row>
    <row r="42" spans="2:8" ht="18" thickBot="1" x14ac:dyDescent="0.5"/>
    <row r="43" spans="2:8" ht="36" x14ac:dyDescent="0.9">
      <c r="B43" s="82" t="s">
        <v>161</v>
      </c>
      <c r="C43" s="29" t="s">
        <v>162</v>
      </c>
      <c r="D43" s="29"/>
      <c r="E43" s="30"/>
    </row>
    <row r="44" spans="2:8" x14ac:dyDescent="0.45">
      <c r="B44" s="37"/>
      <c r="E44" s="35"/>
    </row>
    <row r="45" spans="2:8" x14ac:dyDescent="0.45">
      <c r="B45" s="37"/>
      <c r="E45" s="35"/>
    </row>
    <row r="46" spans="2:8" ht="18.600000000000001" x14ac:dyDescent="0.45">
      <c r="B46" s="37"/>
      <c r="C46" s="2" t="s">
        <v>163</v>
      </c>
      <c r="D46" s="43">
        <f>(E38-E39)/C24</f>
        <v>137.5719516505425</v>
      </c>
      <c r="E46" s="35" t="s">
        <v>164</v>
      </c>
    </row>
    <row r="47" spans="2:8" x14ac:dyDescent="0.45">
      <c r="B47" s="37"/>
      <c r="C47" s="2" t="s">
        <v>165</v>
      </c>
      <c r="D47" s="43">
        <f>SQRT(D46)</f>
        <v>11.729107026988137</v>
      </c>
      <c r="E47" s="35" t="s">
        <v>24</v>
      </c>
    </row>
    <row r="48" spans="2:8" x14ac:dyDescent="0.45">
      <c r="B48" s="37"/>
      <c r="C48" s="2" t="s">
        <v>166</v>
      </c>
      <c r="D48" s="43">
        <f>SQRT(E39)</f>
        <v>12.742861174783171</v>
      </c>
      <c r="E48" s="35" t="s">
        <v>24</v>
      </c>
    </row>
    <row r="49" spans="2:6" x14ac:dyDescent="0.45">
      <c r="B49" s="37"/>
      <c r="D49" s="7"/>
      <c r="E49" s="35"/>
    </row>
    <row r="50" spans="2:6" x14ac:dyDescent="0.45">
      <c r="B50" s="37"/>
      <c r="C50" s="42" t="s">
        <v>34</v>
      </c>
      <c r="D50" s="43">
        <f>AVERAGE(C5:I14)</f>
        <v>2125.2736471833623</v>
      </c>
      <c r="E50" s="35" t="s">
        <v>24</v>
      </c>
    </row>
    <row r="51" spans="2:6" x14ac:dyDescent="0.45">
      <c r="B51" s="37"/>
      <c r="C51" s="2" t="s">
        <v>167</v>
      </c>
      <c r="D51" s="43">
        <f>SQRT((D48^2)+(D47^2))</f>
        <v>17.319135733931383</v>
      </c>
      <c r="E51" s="35" t="s">
        <v>24</v>
      </c>
    </row>
    <row r="52" spans="2:6" x14ac:dyDescent="0.45">
      <c r="B52" s="37"/>
      <c r="C52" s="42" t="s">
        <v>168</v>
      </c>
      <c r="D52" s="83">
        <f>D51/(D50/100)</f>
        <v>0.81491321161792674</v>
      </c>
      <c r="E52" s="35" t="s">
        <v>84</v>
      </c>
    </row>
    <row r="53" spans="2:6" x14ac:dyDescent="0.45">
      <c r="B53" s="37"/>
      <c r="E53" s="35"/>
    </row>
    <row r="54" spans="2:6" ht="18" thickBot="1" x14ac:dyDescent="0.5">
      <c r="B54" s="58"/>
      <c r="C54" s="59"/>
      <c r="D54" s="59"/>
      <c r="E54" s="60"/>
      <c r="F54" s="8" t="s">
        <v>208</v>
      </c>
    </row>
    <row r="55" spans="2:6" ht="18" thickBot="1" x14ac:dyDescent="0.5"/>
    <row r="56" spans="2:6" ht="36" x14ac:dyDescent="0.9">
      <c r="B56" s="82" t="s">
        <v>161</v>
      </c>
      <c r="C56" s="29" t="s">
        <v>169</v>
      </c>
      <c r="D56" s="29"/>
      <c r="E56" s="30"/>
    </row>
    <row r="57" spans="2:6" x14ac:dyDescent="0.45">
      <c r="B57" s="37"/>
      <c r="E57" s="35"/>
    </row>
    <row r="58" spans="2:6" x14ac:dyDescent="0.45">
      <c r="B58" s="37"/>
      <c r="E58" s="35"/>
    </row>
    <row r="59" spans="2:6" x14ac:dyDescent="0.45">
      <c r="B59" s="37"/>
      <c r="C59" s="2" t="s">
        <v>170</v>
      </c>
      <c r="D59" s="84">
        <f>(D62*10^-6)^(-0.1505)*2</f>
        <v>5.0495660776493692</v>
      </c>
      <c r="E59" s="35" t="s">
        <v>84</v>
      </c>
    </row>
    <row r="60" spans="2:6" x14ac:dyDescent="0.45">
      <c r="B60" s="37"/>
      <c r="C60" s="2" t="s">
        <v>171</v>
      </c>
      <c r="D60" s="85">
        <f>D59/100</f>
        <v>5.0495660776493694E-2</v>
      </c>
      <c r="E60" s="35" t="s">
        <v>71</v>
      </c>
    </row>
    <row r="61" spans="2:6" x14ac:dyDescent="0.45">
      <c r="B61" s="37"/>
      <c r="D61" s="7"/>
      <c r="E61" s="35"/>
    </row>
    <row r="62" spans="2:6" x14ac:dyDescent="0.45">
      <c r="B62" s="101" t="s">
        <v>138</v>
      </c>
      <c r="C62" s="2" t="s">
        <v>172</v>
      </c>
      <c r="D62" s="43">
        <f>AVERAGE(C5:I14)</f>
        <v>2125.2736471833623</v>
      </c>
      <c r="E62" s="35" t="s">
        <v>24</v>
      </c>
    </row>
    <row r="63" spans="2:6" x14ac:dyDescent="0.45">
      <c r="B63" s="101"/>
      <c r="C63" s="2" t="s">
        <v>173</v>
      </c>
      <c r="D63" s="43">
        <f>_xlfn.STDEV.S(E24:E33)</f>
        <v>12.679478202837359</v>
      </c>
      <c r="E63" s="35" t="s">
        <v>24</v>
      </c>
    </row>
    <row r="64" spans="2:6" x14ac:dyDescent="0.45">
      <c r="B64" s="101"/>
      <c r="C64" s="2" t="s">
        <v>174</v>
      </c>
      <c r="D64" s="43">
        <f>SQRT(E39)</f>
        <v>12.742861174783171</v>
      </c>
      <c r="E64" s="35" t="s">
        <v>24</v>
      </c>
    </row>
    <row r="65" spans="1:6" x14ac:dyDescent="0.45">
      <c r="B65" s="101"/>
      <c r="C65" s="2" t="s">
        <v>175</v>
      </c>
      <c r="D65" s="43">
        <f>SQRT(ABS((E38-E39)/C24))</f>
        <v>11.729107026988137</v>
      </c>
      <c r="E65" s="35" t="s">
        <v>24</v>
      </c>
    </row>
    <row r="66" spans="1:6" x14ac:dyDescent="0.45">
      <c r="B66" s="101"/>
      <c r="C66" s="23" t="s">
        <v>176</v>
      </c>
      <c r="D66" s="43">
        <f>D62*D60</f>
        <v>107.31709714539261</v>
      </c>
      <c r="E66" s="35"/>
    </row>
    <row r="67" spans="1:6" x14ac:dyDescent="0.45">
      <c r="B67" s="101"/>
      <c r="C67" s="23" t="s">
        <v>177</v>
      </c>
      <c r="D67" s="43">
        <f>0.3*D66</f>
        <v>32.195129143617784</v>
      </c>
      <c r="E67" s="35"/>
    </row>
    <row r="68" spans="1:6" x14ac:dyDescent="0.45">
      <c r="B68" s="86"/>
      <c r="D68" s="7"/>
      <c r="E68" s="35"/>
    </row>
    <row r="69" spans="1:6" x14ac:dyDescent="0.45">
      <c r="B69" s="101" t="s">
        <v>156</v>
      </c>
      <c r="C69" s="2" t="s">
        <v>178</v>
      </c>
      <c r="D69" s="43">
        <f>AVERAGE(C17:I18)</f>
        <v>2143.263105143782</v>
      </c>
      <c r="E69" s="35" t="s">
        <v>24</v>
      </c>
    </row>
    <row r="70" spans="1:6" x14ac:dyDescent="0.45">
      <c r="B70" s="101"/>
      <c r="C70" s="2" t="s">
        <v>179</v>
      </c>
      <c r="D70" s="43">
        <f>ABS(D69-D62)</f>
        <v>17.989457960419713</v>
      </c>
      <c r="E70" s="35" t="s">
        <v>24</v>
      </c>
    </row>
    <row r="71" spans="1:6" ht="18" thickBot="1" x14ac:dyDescent="0.5">
      <c r="B71" s="102"/>
      <c r="C71" s="59" t="s">
        <v>180</v>
      </c>
      <c r="D71" s="87">
        <f>D67</f>
        <v>32.195129143617784</v>
      </c>
      <c r="E71" s="60"/>
      <c r="F71" s="92" t="s">
        <v>207</v>
      </c>
    </row>
    <row r="74" spans="1:6" ht="18.600000000000001" x14ac:dyDescent="0.45">
      <c r="A74" s="13" t="s">
        <v>202</v>
      </c>
    </row>
  </sheetData>
  <mergeCells count="2">
    <mergeCell ref="B62:B67"/>
    <mergeCell ref="B69:B71"/>
  </mergeCells>
  <conditionalFormatting sqref="B20">
    <cfRule type="expression" dxfId="8" priority="5">
      <formula>COUNT($C$5:$I$8)&lt;28</formula>
    </cfRule>
  </conditionalFormatting>
  <conditionalFormatting sqref="D67">
    <cfRule type="cellIs" dxfId="7" priority="3" operator="lessThan">
      <formula>$D$65</formula>
    </cfRule>
    <cfRule type="cellIs" dxfId="6" priority="4" operator="greaterThan">
      <formula>$D$65</formula>
    </cfRule>
  </conditionalFormatting>
  <conditionalFormatting sqref="D71">
    <cfRule type="cellIs" dxfId="5" priority="1" operator="lessThan">
      <formula>$D$70</formula>
    </cfRule>
    <cfRule type="cellIs" dxfId="4" priority="2" operator="greaterThan">
      <formula>$D$70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3A02-894B-4049-82B2-69EC13F0B79C}">
  <dimension ref="A1:H39"/>
  <sheetViews>
    <sheetView showGridLines="0" zoomScale="70" zoomScaleNormal="70" workbookViewId="0"/>
  </sheetViews>
  <sheetFormatPr baseColWidth="10" defaultRowHeight="17.399999999999999" x14ac:dyDescent="0.45"/>
  <cols>
    <col min="1" max="1" width="40.21875" style="2" customWidth="1"/>
    <col min="2" max="3" width="11.5546875" style="2"/>
    <col min="4" max="4" width="24.21875" style="2" customWidth="1"/>
    <col min="5" max="5" width="47.77734375" style="2" customWidth="1"/>
    <col min="6" max="6" width="49" style="2" customWidth="1"/>
    <col min="7" max="16384" width="11.5546875" style="2"/>
  </cols>
  <sheetData>
    <row r="1" spans="1:8" ht="29.4" x14ac:dyDescent="0.75">
      <c r="A1" s="88" t="s">
        <v>181</v>
      </c>
    </row>
    <row r="3" spans="1:8" ht="22.8" thickBot="1" x14ac:dyDescent="0.6">
      <c r="A3" s="3" t="s">
        <v>1</v>
      </c>
      <c r="B3" s="14" t="s">
        <v>22</v>
      </c>
    </row>
    <row r="4" spans="1:8" ht="36" x14ac:dyDescent="0.9">
      <c r="A4" s="5" t="s">
        <v>8</v>
      </c>
      <c r="B4" s="6">
        <f>Characterisation!H5</f>
        <v>2705.1415416694813</v>
      </c>
      <c r="C4" s="7" t="s">
        <v>3</v>
      </c>
      <c r="E4" s="82" t="s">
        <v>161</v>
      </c>
      <c r="F4" s="29" t="s">
        <v>162</v>
      </c>
      <c r="G4" s="29"/>
      <c r="H4" s="30"/>
    </row>
    <row r="5" spans="1:8" x14ac:dyDescent="0.45">
      <c r="E5" s="37"/>
      <c r="H5" s="35"/>
    </row>
    <row r="6" spans="1:8" x14ac:dyDescent="0.45">
      <c r="A6" s="10" t="s">
        <v>10</v>
      </c>
      <c r="B6" s="11">
        <f>Characterisation!H6</f>
        <v>12.547403146586916</v>
      </c>
      <c r="C6" s="7" t="s">
        <v>3</v>
      </c>
      <c r="E6" s="37"/>
      <c r="H6" s="35"/>
    </row>
    <row r="7" spans="1:8" ht="18.600000000000001" x14ac:dyDescent="0.45">
      <c r="A7" s="10" t="s">
        <v>182</v>
      </c>
      <c r="B7" s="11">
        <f>(G13/100)*B4</f>
        <v>22.044555816029465</v>
      </c>
      <c r="C7" s="7" t="s">
        <v>3</v>
      </c>
      <c r="E7" s="37"/>
      <c r="F7" s="2" t="s">
        <v>163</v>
      </c>
      <c r="G7" s="43">
        <v>137.5719516505425</v>
      </c>
      <c r="H7" s="35" t="s">
        <v>164</v>
      </c>
    </row>
    <row r="8" spans="1:8" x14ac:dyDescent="0.45">
      <c r="A8" s="10" t="s">
        <v>183</v>
      </c>
      <c r="B8" s="11">
        <f>(G31/G30)*B4</f>
        <v>22.705579134944074</v>
      </c>
      <c r="C8" s="7" t="s">
        <v>3</v>
      </c>
      <c r="E8" s="37"/>
      <c r="F8" s="2" t="s">
        <v>165</v>
      </c>
      <c r="G8" s="43">
        <f>SQRT(G7)</f>
        <v>11.729107026988137</v>
      </c>
      <c r="H8" s="35" t="s">
        <v>24</v>
      </c>
    </row>
    <row r="9" spans="1:8" x14ac:dyDescent="0.45">
      <c r="E9" s="37"/>
      <c r="F9" s="2" t="s">
        <v>166</v>
      </c>
      <c r="G9" s="43">
        <v>12.742861174783171</v>
      </c>
      <c r="H9" s="35" t="s">
        <v>24</v>
      </c>
    </row>
    <row r="10" spans="1:8" x14ac:dyDescent="0.45">
      <c r="A10" s="10" t="s">
        <v>184</v>
      </c>
      <c r="B10" s="11">
        <f>SQRT((B6^2)+(B7^2)+(B8^2))</f>
        <v>34.04325323323588</v>
      </c>
      <c r="C10" s="7" t="s">
        <v>3</v>
      </c>
      <c r="E10" s="37"/>
      <c r="G10" s="7"/>
      <c r="H10" s="35"/>
    </row>
    <row r="11" spans="1:8" x14ac:dyDescent="0.45">
      <c r="A11" s="10" t="s">
        <v>185</v>
      </c>
      <c r="B11" s="21">
        <v>2</v>
      </c>
      <c r="C11" s="7" t="s">
        <v>71</v>
      </c>
      <c r="E11" s="37"/>
      <c r="F11" s="42" t="s">
        <v>34</v>
      </c>
      <c r="G11" s="43">
        <v>2125.2736471833623</v>
      </c>
      <c r="H11" s="35" t="s">
        <v>24</v>
      </c>
    </row>
    <row r="12" spans="1:8" x14ac:dyDescent="0.45">
      <c r="E12" s="37"/>
      <c r="F12" s="2" t="s">
        <v>167</v>
      </c>
      <c r="G12" s="43">
        <f>SQRT((G9^2)+(G8^2))</f>
        <v>17.319135733931383</v>
      </c>
      <c r="H12" s="35" t="s">
        <v>24</v>
      </c>
    </row>
    <row r="13" spans="1:8" x14ac:dyDescent="0.45">
      <c r="A13" s="10" t="s">
        <v>186</v>
      </c>
      <c r="B13" s="6">
        <f>B11*B10</f>
        <v>68.086506466471761</v>
      </c>
      <c r="C13" s="7" t="s">
        <v>3</v>
      </c>
      <c r="E13" s="37"/>
      <c r="F13" s="42" t="s">
        <v>168</v>
      </c>
      <c r="G13" s="83">
        <f>G12/(G11/100)</f>
        <v>0.81491321161792674</v>
      </c>
      <c r="H13" s="35" t="s">
        <v>84</v>
      </c>
    </row>
    <row r="14" spans="1:8" x14ac:dyDescent="0.45">
      <c r="E14" s="37"/>
      <c r="H14" s="35"/>
    </row>
    <row r="15" spans="1:8" ht="18" thickBot="1" x14ac:dyDescent="0.5">
      <c r="A15" s="10" t="s">
        <v>187</v>
      </c>
      <c r="B15" s="89">
        <f>B13/B4*100</f>
        <v>2.5169295365022597</v>
      </c>
      <c r="C15" s="7" t="s">
        <v>188</v>
      </c>
      <c r="E15" s="58"/>
      <c r="F15" s="59"/>
      <c r="G15" s="59"/>
      <c r="H15" s="60"/>
    </row>
    <row r="16" spans="1:8" ht="18" thickBot="1" x14ac:dyDescent="0.5">
      <c r="A16" s="2" t="s">
        <v>189</v>
      </c>
      <c r="B16" s="89">
        <f>(B4*10^-6)^(-0.1505)*2</f>
        <v>4.8695115649724281</v>
      </c>
      <c r="C16" s="7" t="s">
        <v>188</v>
      </c>
    </row>
    <row r="17" spans="1:8" ht="36" x14ac:dyDescent="0.9">
      <c r="A17" s="10" t="s">
        <v>88</v>
      </c>
      <c r="B17" s="89">
        <f>B15/B16</f>
        <v>0.51687515327145772</v>
      </c>
      <c r="C17" s="7" t="s">
        <v>71</v>
      </c>
      <c r="E17" s="82" t="s">
        <v>161</v>
      </c>
      <c r="F17" s="29" t="s">
        <v>169</v>
      </c>
      <c r="G17" s="29"/>
      <c r="H17" s="30"/>
    </row>
    <row r="18" spans="1:8" x14ac:dyDescent="0.45">
      <c r="E18" s="37"/>
      <c r="H18" s="35"/>
    </row>
    <row r="19" spans="1:8" x14ac:dyDescent="0.45">
      <c r="A19" s="2" t="s">
        <v>190</v>
      </c>
      <c r="E19" s="37"/>
      <c r="H19" s="35"/>
    </row>
    <row r="20" spans="1:8" x14ac:dyDescent="0.45">
      <c r="A20" s="2" t="s">
        <v>191</v>
      </c>
      <c r="E20" s="37"/>
      <c r="F20" s="2" t="s">
        <v>192</v>
      </c>
      <c r="G20" s="84">
        <v>5.0495660776493692</v>
      </c>
      <c r="H20" s="35" t="s">
        <v>84</v>
      </c>
    </row>
    <row r="21" spans="1:8" x14ac:dyDescent="0.45">
      <c r="A21" s="2" t="s">
        <v>193</v>
      </c>
      <c r="E21" s="37"/>
      <c r="F21" s="2" t="s">
        <v>171</v>
      </c>
      <c r="G21" s="85">
        <f>G20/100</f>
        <v>5.0495660776493694E-2</v>
      </c>
      <c r="H21" s="35" t="s">
        <v>71</v>
      </c>
    </row>
    <row r="22" spans="1:8" x14ac:dyDescent="0.45">
      <c r="E22" s="37"/>
      <c r="G22" s="7"/>
      <c r="H22" s="35"/>
    </row>
    <row r="23" spans="1:8" x14ac:dyDescent="0.45">
      <c r="A23" s="2" t="s">
        <v>194</v>
      </c>
      <c r="E23" s="101" t="s">
        <v>138</v>
      </c>
      <c r="F23" s="2" t="s">
        <v>172</v>
      </c>
      <c r="G23" s="43">
        <v>2125.2736471833623</v>
      </c>
      <c r="H23" s="35" t="s">
        <v>24</v>
      </c>
    </row>
    <row r="24" spans="1:8" x14ac:dyDescent="0.45">
      <c r="A24" s="2" t="s">
        <v>195</v>
      </c>
      <c r="E24" s="101"/>
      <c r="F24" s="2" t="s">
        <v>173</v>
      </c>
      <c r="G24" s="43">
        <v>12.679478202837359</v>
      </c>
      <c r="H24" s="35" t="s">
        <v>24</v>
      </c>
    </row>
    <row r="25" spans="1:8" x14ac:dyDescent="0.45">
      <c r="A25" s="2" t="s">
        <v>196</v>
      </c>
      <c r="E25" s="101"/>
      <c r="F25" s="2" t="s">
        <v>174</v>
      </c>
      <c r="G25" s="43">
        <v>12.742861174783171</v>
      </c>
      <c r="H25" s="35" t="s">
        <v>24</v>
      </c>
    </row>
    <row r="26" spans="1:8" x14ac:dyDescent="0.45">
      <c r="E26" s="101"/>
      <c r="F26" s="2" t="s">
        <v>175</v>
      </c>
      <c r="G26" s="43">
        <v>11.729107026988137</v>
      </c>
      <c r="H26" s="35" t="s">
        <v>24</v>
      </c>
    </row>
    <row r="27" spans="1:8" x14ac:dyDescent="0.45">
      <c r="A27" s="2" t="s">
        <v>197</v>
      </c>
      <c r="E27" s="101"/>
      <c r="F27" s="23" t="s">
        <v>176</v>
      </c>
      <c r="G27" s="43">
        <f>G23*G21</f>
        <v>107.31709714539261</v>
      </c>
      <c r="H27" s="35"/>
    </row>
    <row r="28" spans="1:8" x14ac:dyDescent="0.45">
      <c r="A28" s="2" t="s">
        <v>198</v>
      </c>
      <c r="E28" s="101"/>
      <c r="F28" s="23" t="s">
        <v>177</v>
      </c>
      <c r="G28" s="43">
        <f>0.3*G27</f>
        <v>32.195129143617784</v>
      </c>
      <c r="H28" s="35"/>
    </row>
    <row r="29" spans="1:8" x14ac:dyDescent="0.45">
      <c r="A29" s="2" t="s">
        <v>199</v>
      </c>
      <c r="E29" s="86"/>
      <c r="G29" s="7"/>
      <c r="H29" s="35"/>
    </row>
    <row r="30" spans="1:8" x14ac:dyDescent="0.45">
      <c r="A30" s="2" t="s">
        <v>200</v>
      </c>
      <c r="E30" s="101" t="s">
        <v>156</v>
      </c>
      <c r="F30" s="2" t="s">
        <v>178</v>
      </c>
      <c r="G30" s="43">
        <v>2143.263105143782</v>
      </c>
      <c r="H30" s="35" t="s">
        <v>24</v>
      </c>
    </row>
    <row r="31" spans="1:8" x14ac:dyDescent="0.45">
      <c r="A31" s="2" t="s">
        <v>201</v>
      </c>
      <c r="E31" s="101"/>
      <c r="F31" s="2" t="s">
        <v>179</v>
      </c>
      <c r="G31" s="43">
        <f>ABS(G30-G23)</f>
        <v>17.989457960419713</v>
      </c>
      <c r="H31" s="35" t="s">
        <v>24</v>
      </c>
    </row>
    <row r="32" spans="1:8" x14ac:dyDescent="0.45">
      <c r="E32" s="101"/>
      <c r="F32" s="2" t="s">
        <v>180</v>
      </c>
      <c r="G32" s="43">
        <f>G28</f>
        <v>32.195129143617784</v>
      </c>
      <c r="H32" s="35"/>
    </row>
    <row r="33" spans="1:8" ht="18" thickBot="1" x14ac:dyDescent="0.5">
      <c r="A33" s="62" t="s">
        <v>205</v>
      </c>
      <c r="E33" s="58"/>
      <c r="F33" s="59"/>
      <c r="G33" s="59"/>
      <c r="H33" s="60"/>
    </row>
    <row r="34" spans="1:8" x14ac:dyDescent="0.45">
      <c r="A34" s="91" t="s">
        <v>206</v>
      </c>
    </row>
    <row r="35" spans="1:8" x14ac:dyDescent="0.45">
      <c r="A35" s="65" t="s">
        <v>95</v>
      </c>
      <c r="G35" s="16"/>
    </row>
    <row r="36" spans="1:8" x14ac:dyDescent="0.45">
      <c r="G36" s="16"/>
    </row>
    <row r="37" spans="1:8" x14ac:dyDescent="0.45">
      <c r="G37" s="16"/>
    </row>
    <row r="39" spans="1:8" ht="18.600000000000001" x14ac:dyDescent="0.45">
      <c r="A39" s="13" t="s">
        <v>202</v>
      </c>
    </row>
  </sheetData>
  <mergeCells count="2">
    <mergeCell ref="E23:E28"/>
    <mergeCell ref="E30:E32"/>
  </mergeCells>
  <conditionalFormatting sqref="G32">
    <cfRule type="cellIs" dxfId="3" priority="1" operator="lessThan">
      <formula>$D$70</formula>
    </cfRule>
    <cfRule type="cellIs" dxfId="2" priority="2" operator="greaterThan">
      <formula>$D$70</formula>
    </cfRule>
  </conditionalFormatting>
  <conditionalFormatting sqref="G28">
    <cfRule type="cellIs" dxfId="1" priority="3" operator="lessThan">
      <formula>$D$65</formula>
    </cfRule>
    <cfRule type="cellIs" dxfId="0" priority="4" operator="greaterThan">
      <formula>$D$65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Characterisation</vt:lpstr>
      <vt:lpstr>Homogeneity Test Single Pellet</vt:lpstr>
      <vt:lpstr>Homogeneity- &amp; Stability Test</vt:lpstr>
      <vt:lpstr>Value &amp; Uncertainty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Nordstad</dc:creator>
  <cp:lastModifiedBy>Lena Nolte</cp:lastModifiedBy>
  <dcterms:created xsi:type="dcterms:W3CDTF">2022-01-31T18:39:41Z</dcterms:created>
  <dcterms:modified xsi:type="dcterms:W3CDTF">2022-08-19T09:39:06Z</dcterms:modified>
</cp:coreProperties>
</file>